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3"/>
  <workbookPr/>
  <mc:AlternateContent xmlns:mc="http://schemas.openxmlformats.org/markup-compatibility/2006">
    <mc:Choice Requires="x15">
      <x15ac:absPath xmlns:x15ac="http://schemas.microsoft.com/office/spreadsheetml/2010/11/ac" url="/Users/stephenplumridge/Dropbox/QUALISAIR/A-00422 Qualisair qCR Calibration Kit/"/>
    </mc:Choice>
  </mc:AlternateContent>
  <xr:revisionPtr revIDLastSave="0" documentId="13_ncr:1_{885B53BC-D4B2-934E-9DDF-08BE3B89F199}" xr6:coauthVersionLast="47" xr6:coauthVersionMax="47" xr10:uidLastSave="{00000000-0000-0000-0000-000000000000}"/>
  <bookViews>
    <workbookView xWindow="23540" yWindow="500" windowWidth="28780" windowHeight="39420" xr2:uid="{00000000-000D-0000-FFFF-FFFF00000000}"/>
  </bookViews>
  <sheets>
    <sheet name="Certificat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6" i="1" l="1"/>
  <c r="B68" i="1" l="1"/>
  <c r="J68" i="1" s="1"/>
  <c r="B63" i="1"/>
  <c r="J63" i="1" s="1"/>
  <c r="E57" i="1"/>
  <c r="B26" i="1"/>
  <c r="H30" i="1"/>
  <c r="H40" i="1" s="1"/>
  <c r="A22" i="1"/>
  <c r="E21" i="1"/>
  <c r="A21" i="1"/>
  <c r="F9" i="1"/>
  <c r="H5" i="1"/>
  <c r="C5" i="1"/>
  <c r="A63" i="1" l="1"/>
  <c r="B27" i="1"/>
  <c r="H17" i="1" s="1"/>
  <c r="H31" i="1"/>
  <c r="H32" i="1" s="1"/>
  <c r="H34" i="1" s="1"/>
  <c r="H42" i="1" s="1"/>
  <c r="B29" i="1" l="1"/>
  <c r="B30" i="1"/>
  <c r="H46" i="1" s="1"/>
  <c r="I63" i="1"/>
  <c r="G63" i="1" s="1"/>
  <c r="H63" i="1" s="1"/>
  <c r="H43" i="1" s="1"/>
  <c r="H33" i="1"/>
  <c r="H41" i="1" s="1"/>
  <c r="H44" i="1" l="1"/>
  <c r="H45" i="1"/>
  <c r="H47" i="1" l="1"/>
  <c r="H38" i="1" s="1"/>
  <c r="H36" i="1"/>
  <c r="I30" i="1" l="1"/>
  <c r="I42" i="1" l="1"/>
  <c r="I41" i="1"/>
  <c r="I40" i="1"/>
  <c r="I31" i="1"/>
  <c r="I32" i="1" s="1"/>
  <c r="I34" i="1" s="1"/>
  <c r="I46" i="1" l="1"/>
  <c r="I33" i="1"/>
  <c r="I45" i="1" l="1"/>
  <c r="I47" i="1" l="1"/>
  <c r="I38" i="1" s="1"/>
  <c r="I1" i="1" s="1"/>
  <c r="A68" i="1" l="1"/>
  <c r="I68" i="1" s="1"/>
  <c r="G68" i="1" l="1"/>
  <c r="H68" i="1" s="1"/>
  <c r="I43" i="1" s="1"/>
  <c r="I44" i="1"/>
</calcChain>
</file>

<file path=xl/sharedStrings.xml><?xml version="1.0" encoding="utf-8"?>
<sst xmlns="http://schemas.openxmlformats.org/spreadsheetml/2006/main" count="147" uniqueCount="101">
  <si>
    <t>MicroBio Serial Number</t>
  </si>
  <si>
    <t>Certificate Number</t>
  </si>
  <si>
    <t>General Information</t>
  </si>
  <si>
    <t>Product Owner</t>
  </si>
  <si>
    <t>Calibration Date</t>
  </si>
  <si>
    <t>Approved
Signatory</t>
  </si>
  <si>
    <t>Address</t>
  </si>
  <si>
    <t>Calibration Due</t>
  </si>
  <si>
    <t>Calibrated By</t>
  </si>
  <si>
    <t>PO / Name</t>
  </si>
  <si>
    <t>Country</t>
  </si>
  <si>
    <t>qCR Manual, A-00483</t>
  </si>
  <si>
    <t>Asset Number</t>
  </si>
  <si>
    <t>Model / Configuration</t>
  </si>
  <si>
    <t>Model</t>
  </si>
  <si>
    <t>Sampler flow rate</t>
  </si>
  <si>
    <t>L/min</t>
  </si>
  <si>
    <t>Sampling head holes</t>
  </si>
  <si>
    <t>Holes</t>
  </si>
  <si>
    <t>Sampling head hole diameter</t>
  </si>
  <si>
    <t>mm</t>
  </si>
  <si>
    <t>Plate Fitted</t>
  </si>
  <si>
    <t>Measurements</t>
  </si>
  <si>
    <t>Inspection</t>
  </si>
  <si>
    <t>Adjusted</t>
  </si>
  <si>
    <t>Reading No.</t>
  </si>
  <si>
    <t>Units</t>
  </si>
  <si>
    <t>m/s</t>
  </si>
  <si>
    <t>Mean Velocity</t>
  </si>
  <si>
    <t>Std. Deviation</t>
  </si>
  <si>
    <t>Confidence 95%</t>
  </si>
  <si>
    <t>Upper Range</t>
  </si>
  <si>
    <t>Lower Range</t>
  </si>
  <si>
    <t>Action Required</t>
  </si>
  <si>
    <t>PASS/FAIL</t>
  </si>
  <si>
    <t>Upper</t>
  </si>
  <si>
    <t>Lower</t>
  </si>
  <si>
    <r>
      <rPr>
        <b/>
        <sz val="10"/>
        <color indexed="8"/>
        <rFont val="Helvetica"/>
        <family val="2"/>
      </rPr>
      <t>d</t>
    </r>
    <r>
      <rPr>
        <b/>
        <vertAlign val="subscript"/>
        <sz val="10"/>
        <color indexed="8"/>
        <rFont val="Helvetica"/>
        <family val="2"/>
      </rPr>
      <t>50</t>
    </r>
    <r>
      <rPr>
        <b/>
        <sz val="10"/>
        <color indexed="8"/>
        <rFont val="Helvetica"/>
        <family val="2"/>
      </rPr>
      <t xml:space="preserve"> </t>
    </r>
    <r>
      <rPr>
        <b/>
        <sz val="7"/>
        <color indexed="8"/>
        <rFont val="Helvetica"/>
        <family val="2"/>
      </rPr>
      <t>(Theoretical)</t>
    </r>
  </si>
  <si>
    <t>µm</t>
  </si>
  <si>
    <r>
      <rPr>
        <b/>
        <sz val="10"/>
        <color indexed="8"/>
        <rFont val="Helvetica"/>
        <family val="2"/>
      </rPr>
      <t>U</t>
    </r>
    <r>
      <rPr>
        <b/>
        <vertAlign val="subscript"/>
        <sz val="10"/>
        <color indexed="8"/>
        <rFont val="Helvetica"/>
        <family val="2"/>
      </rPr>
      <t>j</t>
    </r>
    <r>
      <rPr>
        <b/>
        <sz val="10"/>
        <color indexed="8"/>
        <rFont val="Helvetica"/>
        <family val="2"/>
      </rPr>
      <t xml:space="preserve"> </t>
    </r>
    <r>
      <rPr>
        <b/>
        <sz val="7"/>
        <color indexed="8"/>
        <rFont val="Helvetica"/>
        <family val="2"/>
      </rPr>
      <t>(Theoretical)</t>
    </r>
  </si>
  <si>
    <t>Upper Pass</t>
  </si>
  <si>
    <t>Lower Pass</t>
  </si>
  <si>
    <t>Sampler Calibration Conditions</t>
  </si>
  <si>
    <t>Target Volumetric Flow</t>
  </si>
  <si>
    <t>Target Anemometer Velocity</t>
  </si>
  <si>
    <t>Allowed Deviation</t>
  </si>
  <si>
    <t>%</t>
  </si>
  <si>
    <t>Upper Anemometer Velocity</t>
  </si>
  <si>
    <t>Lower Anemometer Velocity</t>
  </si>
  <si>
    <t>Lab Temperature</t>
  </si>
  <si>
    <t>ºC</t>
  </si>
  <si>
    <t>Lab Pressure</t>
  </si>
  <si>
    <t>mBar</t>
  </si>
  <si>
    <t xml:space="preserve">Sampling head </t>
  </si>
  <si>
    <t>Battery box lid</t>
  </si>
  <si>
    <t>Battery contact springs</t>
  </si>
  <si>
    <t>Keypad surface / buttons</t>
  </si>
  <si>
    <t>Plate springs</t>
  </si>
  <si>
    <t>Head spring</t>
  </si>
  <si>
    <t>Enclosure</t>
  </si>
  <si>
    <t>Battery Pack</t>
  </si>
  <si>
    <t>qCR Kit Calibration Parameters</t>
  </si>
  <si>
    <t>Parameter</t>
  </si>
  <si>
    <t>Value</t>
  </si>
  <si>
    <t>Lab temperature</t>
  </si>
  <si>
    <t>Lab pressure</t>
  </si>
  <si>
    <t>mbar</t>
  </si>
  <si>
    <t>Serial number</t>
  </si>
  <si>
    <t>Calibration date</t>
  </si>
  <si>
    <t>Calibration due date</t>
  </si>
  <si>
    <t>Certificate number</t>
  </si>
  <si>
    <t>Notes</t>
  </si>
  <si>
    <t>Inspection Modelling</t>
  </si>
  <si>
    <t xml:space="preserve">Q </t>
  </si>
  <si>
    <t>Dj</t>
  </si>
  <si>
    <t xml:space="preserve">Cc </t>
  </si>
  <si>
    <t xml:space="preserve">ETA   </t>
  </si>
  <si>
    <t xml:space="preserve">stk50  </t>
  </si>
  <si>
    <t>d50 SQRT(Cc)</t>
  </si>
  <si>
    <t>d50</t>
  </si>
  <si>
    <t>Aj</t>
  </si>
  <si>
    <t>lpm</t>
  </si>
  <si>
    <t>g/cm-sec</t>
  </si>
  <si>
    <t>0.22 circ</t>
  </si>
  <si>
    <t>g/cm3</t>
  </si>
  <si>
    <t>m/sec</t>
  </si>
  <si>
    <t>mm2</t>
  </si>
  <si>
    <t>Adjustment Modelling</t>
  </si>
  <si>
    <t>Pass result</t>
  </si>
  <si>
    <t>Service Number</t>
  </si>
  <si>
    <t>Calibration Method</t>
  </si>
  <si>
    <r>
      <t>Qualisair</t>
    </r>
    <r>
      <rPr>
        <vertAlign val="superscript"/>
        <sz val="14"/>
        <color rgb="FF000000"/>
        <rFont val="Helvetica"/>
        <family val="2"/>
      </rPr>
      <t>TM</t>
    </r>
    <r>
      <rPr>
        <sz val="14"/>
        <color rgb="FF000000"/>
        <rFont val="Helvetica"/>
        <family val="2"/>
      </rPr>
      <t xml:space="preserve"> </t>
    </r>
    <r>
      <rPr>
        <sz val="20"/>
        <color indexed="8"/>
        <rFont val="Helvetica"/>
        <family val="2"/>
      </rPr>
      <t>/ MicroBio
Inspection &amp; Calibration</t>
    </r>
  </si>
  <si>
    <t>Uj </t>
  </si>
  <si>
    <t>Particle 
Density</t>
  </si>
  <si>
    <t>Particle
Density</t>
  </si>
  <si>
    <t>Flow Rate</t>
  </si>
  <si>
    <t>New Sampler ?</t>
  </si>
  <si>
    <t>M (from qCR kit certificate)</t>
  </si>
  <si>
    <t>C (from qCR kit certificate)</t>
  </si>
  <si>
    <t>Vf (if applicable)</t>
  </si>
  <si>
    <t>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</si>
</sst>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d\ mmmm\ yyyy"/>
    <numFmt numFmtId="165" formatCode="0.000"/>
    <numFmt numFmtId="166" formatCode="0.0000"/>
    <numFmt numFmtId="167" formatCode="0.0"/>
    <numFmt numFmtId="168" formatCode="d&quot; &quot;mmm&quot; &quot;yyyy"/>
    <numFmt numFmtId="169" formatCode="0.00_);[Red]\(0.00\)"/>
    <numFmt numFmtId="170" formatCode="0.000000"/>
  </numFmts>
  <fonts count="34">
    <font>
      <sz val="10"/>
      <color indexed="8"/>
      <name val="Helvetica"/>
    </font>
    <font>
      <sz val="8"/>
      <color indexed="8"/>
      <name val="Helvetica Neue"/>
      <family val="2"/>
    </font>
    <font>
      <b/>
      <sz val="28"/>
      <color indexed="8"/>
      <name val="Helvetica"/>
      <family val="2"/>
    </font>
    <font>
      <b/>
      <sz val="12"/>
      <color indexed="8"/>
      <name val="Helvetica Neue"/>
      <family val="2"/>
    </font>
    <font>
      <sz val="14"/>
      <color indexed="8"/>
      <name val="Helvetica Neue"/>
      <family val="2"/>
    </font>
    <font>
      <sz val="12"/>
      <color indexed="8"/>
      <name val="Helvetica Neue"/>
      <family val="2"/>
    </font>
    <font>
      <b/>
      <sz val="13"/>
      <color indexed="8"/>
      <name val="Helvetica"/>
      <family val="2"/>
    </font>
    <font>
      <b/>
      <sz val="10"/>
      <color indexed="8"/>
      <name val="Helvetica Neue"/>
      <family val="2"/>
    </font>
    <font>
      <sz val="10"/>
      <color indexed="8"/>
      <name val="Helvetica Neue"/>
      <family val="2"/>
    </font>
    <font>
      <sz val="7"/>
      <color indexed="8"/>
      <name val="Helvetica"/>
      <family val="2"/>
    </font>
    <font>
      <i/>
      <sz val="10"/>
      <color indexed="8"/>
      <name val="Helvetica Neue"/>
      <family val="2"/>
    </font>
    <font>
      <b/>
      <sz val="10"/>
      <color indexed="8"/>
      <name val="Helvetica"/>
      <family val="2"/>
    </font>
    <font>
      <i/>
      <sz val="10"/>
      <color indexed="8"/>
      <name val="Helvetica"/>
      <family val="2"/>
    </font>
    <font>
      <b/>
      <vertAlign val="subscript"/>
      <sz val="10"/>
      <color indexed="8"/>
      <name val="Helvetica"/>
      <family val="2"/>
    </font>
    <font>
      <b/>
      <sz val="7"/>
      <color indexed="8"/>
      <name val="Helvetica"/>
      <family val="2"/>
    </font>
    <font>
      <sz val="9"/>
      <color indexed="8"/>
      <name val="Helvetica Neue"/>
      <family val="2"/>
    </font>
    <font>
      <b/>
      <sz val="8"/>
      <color indexed="8"/>
      <name val="Helvetica Neue"/>
      <family val="2"/>
    </font>
    <font>
      <sz val="20"/>
      <color indexed="8"/>
      <name val="Helvetica"/>
      <family val="2"/>
    </font>
    <font>
      <sz val="12"/>
      <color indexed="8"/>
      <name val="Helvetica"/>
      <family val="2"/>
    </font>
    <font>
      <sz val="10"/>
      <color rgb="FF000000"/>
      <name val="Helvetica"/>
      <family val="2"/>
    </font>
    <font>
      <sz val="10"/>
      <color indexed="8"/>
      <name val="Helvetica"/>
      <family val="2"/>
    </font>
    <font>
      <b/>
      <sz val="10"/>
      <color indexed="8"/>
      <name val="Helvetica"/>
      <family val="2"/>
    </font>
    <font>
      <b/>
      <sz val="10"/>
      <color indexed="8"/>
      <name val="Helvetica Neue"/>
      <family val="2"/>
    </font>
    <font>
      <sz val="12"/>
      <color indexed="8"/>
      <name val="Helvetica Neue"/>
      <family val="2"/>
    </font>
    <font>
      <b/>
      <sz val="14"/>
      <color indexed="8"/>
      <name val="Helvetica Neue"/>
      <family val="2"/>
    </font>
    <font>
      <b/>
      <sz val="14"/>
      <color indexed="8"/>
      <name val="Helvetica"/>
      <family val="2"/>
    </font>
    <font>
      <b/>
      <sz val="13"/>
      <color indexed="8"/>
      <name val="Helvetica"/>
      <family val="2"/>
    </font>
    <font>
      <vertAlign val="superscript"/>
      <sz val="14"/>
      <color rgb="FF000000"/>
      <name val="Helvetica"/>
      <family val="2"/>
    </font>
    <font>
      <sz val="14"/>
      <color rgb="FF000000"/>
      <name val="Helvetica"/>
      <family val="2"/>
    </font>
    <font>
      <b/>
      <sz val="8"/>
      <color rgb="FF000000"/>
      <name val="Helvetica Neue"/>
      <family val="2"/>
    </font>
    <font>
      <b/>
      <sz val="11"/>
      <color indexed="8"/>
      <name val="Helvetica"/>
      <family val="2"/>
    </font>
    <font>
      <sz val="11"/>
      <color indexed="8"/>
      <name val="Helvetica"/>
      <family val="2"/>
    </font>
    <font>
      <b/>
      <sz val="12"/>
      <color indexed="8"/>
      <name val="Helvetica"/>
      <family val="2"/>
    </font>
    <font>
      <b/>
      <i/>
      <sz val="12"/>
      <color indexed="8"/>
      <name val="Helvetica"/>
      <family val="2"/>
    </font>
  </fonts>
  <fills count="11">
    <fill>
      <patternFill patternType="none"/>
    </fill>
    <fill>
      <patternFill patternType="gray125"/>
    </fill>
    <fill>
      <patternFill patternType="solid">
        <fgColor indexed="10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8"/>
        <bgColor auto="1"/>
      </patternFill>
    </fill>
    <fill>
      <patternFill patternType="solid">
        <fgColor indexed="19"/>
        <bgColor auto="1"/>
      </patternFill>
    </fill>
    <fill>
      <patternFill patternType="solid">
        <fgColor indexed="20"/>
        <bgColor auto="1"/>
      </patternFill>
    </fill>
    <fill>
      <patternFill patternType="solid">
        <fgColor indexed="22"/>
        <bgColor auto="1"/>
      </patternFill>
    </fill>
    <fill>
      <patternFill patternType="solid">
        <fgColor indexed="26"/>
        <bgColor auto="1"/>
      </patternFill>
    </fill>
    <fill>
      <patternFill patternType="solid">
        <fgColor indexed="27"/>
        <bgColor auto="1"/>
      </patternFill>
    </fill>
    <fill>
      <patternFill patternType="solid">
        <fgColor theme="0" tint="-0.14999847407452621"/>
        <bgColor indexed="64"/>
      </patternFill>
    </fill>
  </fills>
  <borders count="38">
    <border>
      <left/>
      <right/>
      <top/>
      <bottom/>
      <diagonal/>
    </border>
    <border>
      <left style="thin">
        <color indexed="17"/>
      </left>
      <right/>
      <top/>
      <bottom style="thin">
        <color indexed="17"/>
      </bottom>
      <diagonal/>
    </border>
    <border>
      <left/>
      <right/>
      <top/>
      <bottom style="thin">
        <color indexed="17"/>
      </bottom>
      <diagonal/>
    </border>
    <border>
      <left/>
      <right style="thin">
        <color indexed="17"/>
      </right>
      <top/>
      <bottom style="thin">
        <color indexed="17"/>
      </bottom>
      <diagonal/>
    </border>
    <border>
      <left style="thin">
        <color indexed="17"/>
      </left>
      <right/>
      <top/>
      <bottom/>
      <diagonal/>
    </border>
    <border>
      <left/>
      <right style="thin">
        <color indexed="17"/>
      </right>
      <top/>
      <bottom/>
      <diagonal/>
    </border>
    <border>
      <left/>
      <right/>
      <top/>
      <bottom/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/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7"/>
      </left>
      <right/>
      <top style="thin">
        <color indexed="17"/>
      </top>
      <bottom style="thin">
        <color indexed="24"/>
      </bottom>
      <diagonal/>
    </border>
    <border>
      <left/>
      <right/>
      <top style="thin">
        <color indexed="17"/>
      </top>
      <bottom style="thin">
        <color indexed="24"/>
      </bottom>
      <diagonal/>
    </border>
    <border>
      <left/>
      <right style="thin">
        <color indexed="17"/>
      </right>
      <top style="thin">
        <color indexed="17"/>
      </top>
      <bottom style="thin">
        <color indexed="24"/>
      </bottom>
      <diagonal/>
    </border>
    <border>
      <left style="thin">
        <color indexed="17"/>
      </left>
      <right/>
      <top style="thin">
        <color indexed="24"/>
      </top>
      <bottom/>
      <diagonal/>
    </border>
    <border>
      <left/>
      <right/>
      <top style="thin">
        <color indexed="24"/>
      </top>
      <bottom/>
      <diagonal/>
    </border>
    <border>
      <left/>
      <right style="thin">
        <color indexed="17"/>
      </right>
      <top style="thin">
        <color indexed="2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/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11"/>
      </right>
      <top/>
      <bottom style="thin">
        <color indexed="11"/>
      </bottom>
      <diagonal/>
    </border>
    <border>
      <left style="thin">
        <color indexed="11"/>
      </left>
      <right style="thin">
        <color indexed="64"/>
      </right>
      <top/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/>
      <diagonal/>
    </border>
    <border>
      <left style="thin">
        <color indexed="11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177">
    <xf numFmtId="0" fontId="0" fillId="0" borderId="0" xfId="0">
      <alignment vertical="top" wrapText="1"/>
    </xf>
    <xf numFmtId="0" fontId="0" fillId="0" borderId="0" xfId="0" applyNumberFormat="1">
      <alignment vertical="top" wrapText="1"/>
    </xf>
    <xf numFmtId="0" fontId="6" fillId="0" borderId="0" xfId="0" applyFont="1" applyAlignment="1">
      <alignment horizontal="left" vertical="center"/>
    </xf>
    <xf numFmtId="0" fontId="0" fillId="2" borderId="8" xfId="0" applyFill="1" applyBorder="1" applyAlignment="1">
      <alignment horizontal="center" vertical="center" wrapText="1"/>
    </xf>
    <xf numFmtId="166" fontId="0" fillId="5" borderId="6" xfId="0" applyNumberFormat="1" applyFill="1" applyBorder="1" applyAlignment="1">
      <alignment horizontal="center" vertical="center" wrapText="1"/>
    </xf>
    <xf numFmtId="2" fontId="0" fillId="5" borderId="6" xfId="0" applyNumberFormat="1" applyFill="1" applyBorder="1" applyAlignment="1">
      <alignment horizontal="center" vertical="center" wrapText="1"/>
    </xf>
    <xf numFmtId="2" fontId="11" fillId="2" borderId="6" xfId="0" applyNumberFormat="1" applyFont="1" applyFill="1" applyBorder="1" applyAlignment="1">
      <alignment horizontal="center" vertical="center" wrapText="1"/>
    </xf>
    <xf numFmtId="49" fontId="7" fillId="5" borderId="9" xfId="0" applyNumberFormat="1" applyFont="1" applyFill="1" applyBorder="1" applyAlignment="1">
      <alignment vertical="center" wrapText="1"/>
    </xf>
    <xf numFmtId="49" fontId="7" fillId="3" borderId="11" xfId="0" applyNumberFormat="1" applyFont="1" applyFill="1" applyBorder="1" applyAlignment="1">
      <alignment horizontal="center" vertical="center" wrapText="1"/>
    </xf>
    <xf numFmtId="49" fontId="8" fillId="7" borderId="12" xfId="0" applyNumberFormat="1" applyFont="1" applyFill="1" applyBorder="1" applyAlignment="1">
      <alignment vertical="center" wrapText="1"/>
    </xf>
    <xf numFmtId="49" fontId="8" fillId="3" borderId="14" xfId="0" applyNumberFormat="1" applyFont="1" applyFill="1" applyBorder="1" applyAlignment="1">
      <alignment vertical="center" wrapText="1"/>
    </xf>
    <xf numFmtId="49" fontId="8" fillId="7" borderId="4" xfId="0" applyNumberFormat="1" applyFont="1" applyFill="1" applyBorder="1" applyAlignment="1">
      <alignment vertical="center" wrapText="1"/>
    </xf>
    <xf numFmtId="49" fontId="8" fillId="3" borderId="5" xfId="0" applyNumberFormat="1" applyFont="1" applyFill="1" applyBorder="1" applyAlignment="1">
      <alignment vertical="center" wrapText="1"/>
    </xf>
    <xf numFmtId="0" fontId="15" fillId="3" borderId="5" xfId="0" applyFont="1" applyFill="1" applyBorder="1" applyAlignment="1">
      <alignment vertical="center" wrapText="1"/>
    </xf>
    <xf numFmtId="0" fontId="8" fillId="3" borderId="5" xfId="0" applyFont="1" applyFill="1" applyBorder="1" applyAlignment="1">
      <alignment vertical="center" wrapText="1"/>
    </xf>
    <xf numFmtId="49" fontId="7" fillId="3" borderId="5" xfId="0" applyNumberFormat="1" applyFont="1" applyFill="1" applyBorder="1" applyAlignment="1">
      <alignment horizontal="center" vertical="center" wrapText="1"/>
    </xf>
    <xf numFmtId="49" fontId="8" fillId="7" borderId="1" xfId="0" applyNumberFormat="1" applyFont="1" applyFill="1" applyBorder="1" applyAlignment="1">
      <alignment vertical="center" wrapText="1"/>
    </xf>
    <xf numFmtId="49" fontId="15" fillId="3" borderId="3" xfId="0" applyNumberFormat="1" applyFont="1" applyFill="1" applyBorder="1" applyAlignment="1">
      <alignment vertical="center" wrapText="1"/>
    </xf>
    <xf numFmtId="49" fontId="16" fillId="8" borderId="7" xfId="0" applyNumberFormat="1" applyFont="1" applyFill="1" applyBorder="1" applyAlignment="1">
      <alignment horizontal="center" vertical="center"/>
    </xf>
    <xf numFmtId="0" fontId="16" fillId="8" borderId="7" xfId="0" applyFont="1" applyFill="1" applyBorder="1" applyAlignment="1">
      <alignment horizontal="center" vertical="center"/>
    </xf>
    <xf numFmtId="49" fontId="7" fillId="5" borderId="15" xfId="0" applyNumberFormat="1" applyFont="1" applyFill="1" applyBorder="1" applyAlignment="1">
      <alignment horizontal="left" vertical="center" wrapText="1"/>
    </xf>
    <xf numFmtId="49" fontId="8" fillId="5" borderId="20" xfId="0" applyNumberFormat="1" applyFont="1" applyFill="1" applyBorder="1" applyAlignment="1">
      <alignment horizontal="left" vertical="center" wrapText="1"/>
    </xf>
    <xf numFmtId="49" fontId="7" fillId="3" borderId="15" xfId="0" applyNumberFormat="1" applyFont="1" applyFill="1" applyBorder="1" applyAlignment="1">
      <alignment horizontal="left" vertical="center" wrapText="1"/>
    </xf>
    <xf numFmtId="49" fontId="7" fillId="3" borderId="18" xfId="0" applyNumberFormat="1" applyFont="1" applyFill="1" applyBorder="1" applyAlignment="1">
      <alignment horizontal="left" vertical="center" wrapText="1"/>
    </xf>
    <xf numFmtId="49" fontId="7" fillId="3" borderId="20" xfId="0" applyNumberFormat="1" applyFont="1" applyFill="1" applyBorder="1" applyAlignment="1">
      <alignment vertical="center" wrapText="1"/>
    </xf>
    <xf numFmtId="0" fontId="20" fillId="0" borderId="6" xfId="0" applyFont="1" applyBorder="1" applyAlignment="1">
      <alignment horizontal="left" vertical="top" wrapText="1"/>
    </xf>
    <xf numFmtId="49" fontId="7" fillId="7" borderId="15" xfId="0" applyNumberFormat="1" applyFont="1" applyFill="1" applyBorder="1" applyAlignment="1">
      <alignment vertical="center" wrapText="1"/>
    </xf>
    <xf numFmtId="49" fontId="10" fillId="3" borderId="17" xfId="0" applyNumberFormat="1" applyFont="1" applyFill="1" applyBorder="1" applyAlignment="1">
      <alignment horizontal="left" vertical="center" wrapText="1"/>
    </xf>
    <xf numFmtId="49" fontId="7" fillId="7" borderId="18" xfId="0" applyNumberFormat="1" applyFont="1" applyFill="1" applyBorder="1" applyAlignment="1">
      <alignment vertical="center" wrapText="1"/>
    </xf>
    <xf numFmtId="49" fontId="10" fillId="3" borderId="19" xfId="0" applyNumberFormat="1" applyFont="1" applyFill="1" applyBorder="1" applyAlignment="1">
      <alignment horizontal="left" vertical="center" wrapText="1"/>
    </xf>
    <xf numFmtId="49" fontId="7" fillId="3" borderId="20" xfId="0" applyNumberFormat="1" applyFont="1" applyFill="1" applyBorder="1" applyAlignment="1">
      <alignment horizontal="left" vertical="center" wrapText="1"/>
    </xf>
    <xf numFmtId="49" fontId="10" fillId="3" borderId="22" xfId="0" applyNumberFormat="1" applyFont="1" applyFill="1" applyBorder="1" applyAlignment="1">
      <alignment horizontal="left" vertical="center" wrapText="1"/>
    </xf>
    <xf numFmtId="49" fontId="7" fillId="7" borderId="15" xfId="0" applyNumberFormat="1" applyFont="1" applyFill="1" applyBorder="1" applyAlignment="1">
      <alignment horizontal="left" vertical="center" wrapText="1"/>
    </xf>
    <xf numFmtId="49" fontId="7" fillId="7" borderId="18" xfId="0" applyNumberFormat="1" applyFont="1" applyFill="1" applyBorder="1" applyAlignment="1">
      <alignment horizontal="left" vertical="center" wrapText="1"/>
    </xf>
    <xf numFmtId="49" fontId="7" fillId="7" borderId="20" xfId="0" applyNumberFormat="1" applyFont="1" applyFill="1" applyBorder="1" applyAlignment="1">
      <alignment horizontal="left" vertical="center" wrapText="1"/>
    </xf>
    <xf numFmtId="49" fontId="8" fillId="0" borderId="6" xfId="0" applyNumberFormat="1" applyFont="1" applyFill="1" applyBorder="1" applyAlignment="1">
      <alignment horizontal="center" vertical="center" wrapText="1"/>
    </xf>
    <xf numFmtId="0" fontId="19" fillId="0" borderId="18" xfId="0" applyFont="1" applyBorder="1">
      <alignment vertical="top" wrapText="1"/>
    </xf>
    <xf numFmtId="0" fontId="0" fillId="0" borderId="19" xfId="0" applyNumberFormat="1" applyBorder="1">
      <alignment vertical="top" wrapText="1"/>
    </xf>
    <xf numFmtId="0" fontId="20" fillId="0" borderId="20" xfId="0" applyFont="1" applyBorder="1" applyAlignment="1">
      <alignment horizontal="left" vertical="top" wrapText="1"/>
    </xf>
    <xf numFmtId="0" fontId="0" fillId="0" borderId="22" xfId="0" applyNumberFormat="1" applyBorder="1">
      <alignment vertical="top" wrapText="1"/>
    </xf>
    <xf numFmtId="0" fontId="19" fillId="0" borderId="6" xfId="0" applyFont="1" applyBorder="1" applyAlignment="1">
      <alignment horizontal="center" vertical="top" wrapText="1"/>
    </xf>
    <xf numFmtId="0" fontId="0" fillId="0" borderId="21" xfId="0" applyNumberFormat="1" applyBorder="1" applyAlignment="1">
      <alignment horizontal="center" vertical="top" wrapText="1"/>
    </xf>
    <xf numFmtId="49" fontId="7" fillId="5" borderId="18" xfId="0" applyNumberFormat="1" applyFont="1" applyFill="1" applyBorder="1" applyAlignment="1">
      <alignment vertical="center" wrapText="1"/>
    </xf>
    <xf numFmtId="49" fontId="7" fillId="5" borderId="20" xfId="0" applyNumberFormat="1" applyFont="1" applyFill="1" applyBorder="1" applyAlignment="1">
      <alignment vertical="center" wrapText="1"/>
    </xf>
    <xf numFmtId="0" fontId="0" fillId="0" borderId="6" xfId="0" applyNumberFormat="1" applyBorder="1" applyAlignment="1">
      <alignment horizontal="center" vertical="top" wrapText="1"/>
    </xf>
    <xf numFmtId="49" fontId="22" fillId="5" borderId="18" xfId="0" applyNumberFormat="1" applyFont="1" applyFill="1" applyBorder="1" applyAlignment="1">
      <alignment vertical="center" wrapText="1"/>
    </xf>
    <xf numFmtId="0" fontId="4" fillId="2" borderId="17" xfId="0" applyNumberFormat="1" applyFont="1" applyFill="1" applyBorder="1" applyAlignment="1">
      <alignment horizontal="center" vertical="center" wrapText="1"/>
    </xf>
    <xf numFmtId="49" fontId="8" fillId="0" borderId="6" xfId="0" applyNumberFormat="1" applyFont="1" applyFill="1" applyBorder="1" applyAlignment="1">
      <alignment horizontal="left" vertical="center" wrapText="1"/>
    </xf>
    <xf numFmtId="0" fontId="8" fillId="0" borderId="6" xfId="0" applyFont="1" applyFill="1" applyBorder="1" applyAlignment="1">
      <alignment horizontal="left" vertical="center" wrapText="1"/>
    </xf>
    <xf numFmtId="49" fontId="7" fillId="0" borderId="6" xfId="0" applyNumberFormat="1" applyFont="1" applyFill="1" applyBorder="1" applyAlignment="1">
      <alignment vertical="center" wrapText="1"/>
    </xf>
    <xf numFmtId="0" fontId="0" fillId="0" borderId="0" xfId="0" applyNumberFormat="1" applyFill="1">
      <alignment vertical="top" wrapText="1"/>
    </xf>
    <xf numFmtId="0" fontId="23" fillId="2" borderId="22" xfId="0" applyNumberFormat="1" applyFont="1" applyFill="1" applyBorder="1" applyAlignment="1">
      <alignment horizontal="center" vertical="center" wrapText="1"/>
    </xf>
    <xf numFmtId="0" fontId="0" fillId="0" borderId="6" xfId="0" applyNumberFormat="1" applyBorder="1">
      <alignment vertical="top" wrapText="1"/>
    </xf>
    <xf numFmtId="49" fontId="7" fillId="5" borderId="15" xfId="0" applyNumberFormat="1" applyFont="1" applyFill="1" applyBorder="1" applyAlignment="1">
      <alignment vertical="center" wrapText="1"/>
    </xf>
    <xf numFmtId="49" fontId="22" fillId="5" borderId="20" xfId="0" applyNumberFormat="1" applyFont="1" applyFill="1" applyBorder="1" applyAlignment="1">
      <alignment vertical="center" wrapText="1"/>
    </xf>
    <xf numFmtId="0" fontId="0" fillId="3" borderId="24" xfId="0" applyFill="1" applyBorder="1">
      <alignment vertical="top" wrapText="1"/>
    </xf>
    <xf numFmtId="0" fontId="0" fillId="3" borderId="26" xfId="0" applyFill="1" applyBorder="1">
      <alignment vertical="top" wrapText="1"/>
    </xf>
    <xf numFmtId="49" fontId="11" fillId="3" borderId="27" xfId="0" applyNumberFormat="1" applyFont="1" applyFill="1" applyBorder="1" applyAlignment="1">
      <alignment horizontal="center" vertical="center" wrapText="1"/>
    </xf>
    <xf numFmtId="49" fontId="11" fillId="3" borderId="28" xfId="0" applyNumberFormat="1" applyFont="1" applyFill="1" applyBorder="1" applyAlignment="1">
      <alignment horizontal="center" vertical="center" wrapText="1"/>
    </xf>
    <xf numFmtId="0" fontId="11" fillId="5" borderId="23" xfId="0" applyNumberFormat="1" applyFont="1" applyFill="1" applyBorder="1" applyAlignment="1">
      <alignment horizontal="center" vertical="center" wrapText="1"/>
    </xf>
    <xf numFmtId="49" fontId="12" fillId="5" borderId="29" xfId="0" applyNumberFormat="1" applyFont="1" applyFill="1" applyBorder="1" applyAlignment="1">
      <alignment horizontal="center" vertical="center" wrapText="1"/>
    </xf>
    <xf numFmtId="0" fontId="11" fillId="5" borderId="18" xfId="0" applyNumberFormat="1" applyFont="1" applyFill="1" applyBorder="1" applyAlignment="1">
      <alignment horizontal="center" vertical="center" wrapText="1"/>
    </xf>
    <xf numFmtId="49" fontId="12" fillId="5" borderId="30" xfId="0" applyNumberFormat="1" applyFont="1" applyFill="1" applyBorder="1" applyAlignment="1">
      <alignment horizontal="center" vertical="center" wrapText="1"/>
    </xf>
    <xf numFmtId="49" fontId="11" fillId="5" borderId="18" xfId="0" applyNumberFormat="1" applyFont="1" applyFill="1" applyBorder="1" applyAlignment="1">
      <alignment vertical="center" wrapText="1"/>
    </xf>
    <xf numFmtId="49" fontId="12" fillId="5" borderId="19" xfId="0" applyNumberFormat="1" applyFont="1" applyFill="1" applyBorder="1" applyAlignment="1">
      <alignment horizontal="center" vertical="center" wrapText="1"/>
    </xf>
    <xf numFmtId="49" fontId="11" fillId="5" borderId="20" xfId="0" applyNumberFormat="1" applyFont="1" applyFill="1" applyBorder="1" applyAlignment="1">
      <alignment vertical="center" wrapText="1"/>
    </xf>
    <xf numFmtId="2" fontId="11" fillId="2" borderId="21" xfId="0" applyNumberFormat="1" applyFont="1" applyFill="1" applyBorder="1" applyAlignment="1">
      <alignment horizontal="center" vertical="center" wrapText="1"/>
    </xf>
    <xf numFmtId="49" fontId="12" fillId="5" borderId="22" xfId="0" applyNumberFormat="1" applyFont="1" applyFill="1" applyBorder="1" applyAlignment="1">
      <alignment horizontal="center" vertical="center" wrapText="1"/>
    </xf>
    <xf numFmtId="49" fontId="11" fillId="5" borderId="15" xfId="0" applyNumberFormat="1" applyFont="1" applyFill="1" applyBorder="1" applyAlignment="1">
      <alignment vertical="center" wrapText="1"/>
    </xf>
    <xf numFmtId="165" fontId="0" fillId="5" borderId="16" xfId="0" applyNumberFormat="1" applyFill="1" applyBorder="1" applyAlignment="1">
      <alignment horizontal="center" vertical="center" wrapText="1"/>
    </xf>
    <xf numFmtId="49" fontId="12" fillId="5" borderId="17" xfId="0" applyNumberFormat="1" applyFont="1" applyFill="1" applyBorder="1" applyAlignment="1">
      <alignment horizontal="center" vertical="center" wrapText="1"/>
    </xf>
    <xf numFmtId="0" fontId="26" fillId="0" borderId="0" xfId="0" applyFont="1" applyAlignment="1">
      <alignment horizontal="left" vertical="center"/>
    </xf>
    <xf numFmtId="49" fontId="22" fillId="0" borderId="6" xfId="0" applyNumberFormat="1" applyFont="1" applyFill="1" applyBorder="1" applyAlignment="1">
      <alignment vertical="center" wrapText="1"/>
    </xf>
    <xf numFmtId="0" fontId="0" fillId="0" borderId="0" xfId="0" applyNumberFormat="1" applyAlignment="1">
      <alignment horizontal="center" vertical="center" wrapText="1"/>
    </xf>
    <xf numFmtId="49" fontId="16" fillId="8" borderId="32" xfId="0" applyNumberFormat="1" applyFont="1" applyFill="1" applyBorder="1" applyAlignment="1">
      <alignment horizontal="center" vertical="center"/>
    </xf>
    <xf numFmtId="49" fontId="16" fillId="8" borderId="25" xfId="0" applyNumberFormat="1" applyFont="1" applyFill="1" applyBorder="1" applyAlignment="1">
      <alignment horizontal="center" vertical="center"/>
    </xf>
    <xf numFmtId="49" fontId="16" fillId="8" borderId="31" xfId="0" applyNumberFormat="1" applyFont="1" applyFill="1" applyBorder="1" applyAlignment="1">
      <alignment horizontal="center" vertical="center"/>
    </xf>
    <xf numFmtId="0" fontId="1" fillId="0" borderId="33" xfId="0" applyNumberFormat="1" applyFont="1" applyBorder="1" applyAlignment="1">
      <alignment horizontal="center" vertical="center"/>
    </xf>
    <xf numFmtId="169" fontId="1" fillId="0" borderId="34" xfId="0" applyNumberFormat="1" applyFont="1" applyBorder="1" applyAlignment="1">
      <alignment horizontal="center" vertical="center"/>
    </xf>
    <xf numFmtId="0" fontId="1" fillId="9" borderId="34" xfId="0" applyNumberFormat="1" applyFont="1" applyFill="1" applyBorder="1" applyAlignment="1">
      <alignment horizontal="center" vertical="center"/>
    </xf>
    <xf numFmtId="11" fontId="1" fillId="9" borderId="34" xfId="0" applyNumberFormat="1" applyFont="1" applyFill="1" applyBorder="1" applyAlignment="1">
      <alignment horizontal="center" vertical="center"/>
    </xf>
    <xf numFmtId="0" fontId="20" fillId="0" borderId="21" xfId="0" applyNumberFormat="1" applyFont="1" applyBorder="1" applyAlignment="1">
      <alignment horizontal="center" vertical="center" wrapText="1"/>
    </xf>
    <xf numFmtId="0" fontId="0" fillId="0" borderId="21" xfId="0" applyNumberFormat="1" applyBorder="1" applyAlignment="1">
      <alignment horizontal="center" vertical="center" wrapText="1"/>
    </xf>
    <xf numFmtId="0" fontId="0" fillId="0" borderId="22" xfId="0" applyNumberFormat="1" applyBorder="1" applyAlignment="1">
      <alignment horizontal="center" vertical="center" wrapText="1"/>
    </xf>
    <xf numFmtId="2" fontId="1" fillId="0" borderId="33" xfId="0" applyNumberFormat="1" applyFont="1" applyBorder="1" applyAlignment="1">
      <alignment horizontal="center" vertical="center"/>
    </xf>
    <xf numFmtId="0" fontId="29" fillId="10" borderId="16" xfId="0" applyFont="1" applyFill="1" applyBorder="1" applyAlignment="1">
      <alignment horizontal="center" vertical="center" wrapText="1"/>
    </xf>
    <xf numFmtId="0" fontId="29" fillId="10" borderId="17" xfId="0" applyFont="1" applyFill="1" applyBorder="1" applyAlignment="1">
      <alignment horizontal="center" vertical="center" wrapText="1"/>
    </xf>
    <xf numFmtId="0" fontId="29" fillId="10" borderId="6" xfId="0" applyFont="1" applyFill="1" applyBorder="1" applyAlignment="1">
      <alignment horizontal="center" vertical="center" wrapText="1"/>
    </xf>
    <xf numFmtId="0" fontId="29" fillId="10" borderId="19" xfId="0" applyFont="1" applyFill="1" applyBorder="1" applyAlignment="1">
      <alignment horizontal="center" vertical="center" wrapText="1"/>
    </xf>
    <xf numFmtId="49" fontId="16" fillId="8" borderId="25" xfId="0" applyNumberFormat="1" applyFont="1" applyFill="1" applyBorder="1" applyAlignment="1">
      <alignment horizontal="center" vertical="center" wrapText="1"/>
    </xf>
    <xf numFmtId="49" fontId="11" fillId="3" borderId="25" xfId="0" applyNumberFormat="1" applyFont="1" applyFill="1" applyBorder="1" applyAlignment="1">
      <alignment horizontal="center" vertical="center" wrapText="1"/>
    </xf>
    <xf numFmtId="49" fontId="32" fillId="5" borderId="18" xfId="0" applyNumberFormat="1" applyFont="1" applyFill="1" applyBorder="1" applyAlignment="1">
      <alignment vertical="center" wrapText="1"/>
    </xf>
    <xf numFmtId="2" fontId="32" fillId="2" borderId="6" xfId="0" applyNumberFormat="1" applyFont="1" applyFill="1" applyBorder="1" applyAlignment="1">
      <alignment horizontal="center" vertical="center" wrapText="1"/>
    </xf>
    <xf numFmtId="49" fontId="33" fillId="5" borderId="19" xfId="0" applyNumberFormat="1" applyFont="1" applyFill="1" applyBorder="1" applyAlignment="1">
      <alignment horizontal="center" vertical="center" wrapText="1"/>
    </xf>
    <xf numFmtId="49" fontId="18" fillId="0" borderId="6" xfId="0" applyNumberFormat="1" applyFont="1" applyFill="1" applyBorder="1" applyAlignment="1">
      <alignment horizontal="center" vertical="center" wrapText="1"/>
    </xf>
    <xf numFmtId="166" fontId="0" fillId="5" borderId="16" xfId="0" applyNumberFormat="1" applyFill="1" applyBorder="1" applyAlignment="1">
      <alignment horizontal="center" vertical="center" wrapText="1"/>
    </xf>
    <xf numFmtId="49" fontId="3" fillId="3" borderId="15" xfId="0" applyNumberFormat="1" applyFont="1" applyFill="1" applyBorder="1" applyAlignment="1">
      <alignment vertical="center" wrapText="1"/>
    </xf>
    <xf numFmtId="0" fontId="0" fillId="2" borderId="16" xfId="0" applyFill="1" applyBorder="1" applyAlignment="1">
      <alignment vertical="center" wrapText="1"/>
    </xf>
    <xf numFmtId="49" fontId="3" fillId="3" borderId="20" xfId="0" applyNumberFormat="1" applyFont="1" applyFill="1" applyBorder="1" applyAlignment="1">
      <alignment vertical="center" wrapText="1"/>
    </xf>
    <xf numFmtId="0" fontId="0" fillId="2" borderId="21" xfId="0" applyFill="1" applyBorder="1" applyAlignment="1">
      <alignment vertical="center" wrapText="1"/>
    </xf>
    <xf numFmtId="49" fontId="24" fillId="0" borderId="21" xfId="0" applyNumberFormat="1" applyFont="1" applyBorder="1" applyAlignment="1">
      <alignment horizontal="right" vertical="center" wrapText="1"/>
    </xf>
    <xf numFmtId="49" fontId="24" fillId="0" borderId="22" xfId="0" applyNumberFormat="1" applyFont="1" applyBorder="1" applyAlignment="1">
      <alignment horizontal="right" vertical="center" wrapText="1"/>
    </xf>
    <xf numFmtId="0" fontId="8" fillId="2" borderId="6" xfId="0" applyFont="1" applyFill="1" applyBorder="1" applyAlignment="1">
      <alignment horizontal="right" vertical="center" wrapText="1"/>
    </xf>
    <xf numFmtId="167" fontId="8" fillId="2" borderId="6" xfId="0" applyNumberFormat="1" applyFont="1" applyFill="1" applyBorder="1" applyAlignment="1">
      <alignment horizontal="right" vertical="center" wrapText="1"/>
    </xf>
    <xf numFmtId="49" fontId="8" fillId="5" borderId="18" xfId="0" applyNumberFormat="1" applyFont="1" applyFill="1" applyBorder="1" applyAlignment="1">
      <alignment horizontal="left" vertical="center" wrapText="1"/>
    </xf>
    <xf numFmtId="0" fontId="0" fillId="0" borderId="18" xfId="0" applyBorder="1">
      <alignment vertical="top" wrapText="1"/>
    </xf>
    <xf numFmtId="49" fontId="7" fillId="5" borderId="15" xfId="0" applyNumberFormat="1" applyFont="1" applyFill="1" applyBorder="1" applyAlignment="1">
      <alignment vertical="center" wrapText="1"/>
    </xf>
    <xf numFmtId="0" fontId="0" fillId="0" borderId="20" xfId="0" applyBorder="1">
      <alignment vertical="top" wrapText="1"/>
    </xf>
    <xf numFmtId="164" fontId="5" fillId="2" borderId="16" xfId="0" applyNumberFormat="1" applyFont="1" applyFill="1" applyBorder="1" applyAlignment="1">
      <alignment horizontal="left" vertical="center" wrapText="1"/>
    </xf>
    <xf numFmtId="49" fontId="9" fillId="0" borderId="21" xfId="0" applyNumberFormat="1" applyFont="1" applyBorder="1" applyAlignment="1">
      <alignment horizontal="center" vertical="center" wrapText="1"/>
    </xf>
    <xf numFmtId="49" fontId="9" fillId="0" borderId="22" xfId="0" applyNumberFormat="1" applyFont="1" applyBorder="1" applyAlignment="1">
      <alignment horizontal="center" vertical="center" wrapText="1"/>
    </xf>
    <xf numFmtId="49" fontId="8" fillId="2" borderId="6" xfId="0" applyNumberFormat="1" applyFont="1" applyFill="1" applyBorder="1" applyAlignment="1">
      <alignment horizontal="center" vertical="center" wrapText="1"/>
    </xf>
    <xf numFmtId="49" fontId="8" fillId="2" borderId="19" xfId="0" applyNumberFormat="1" applyFont="1" applyFill="1" applyBorder="1" applyAlignment="1">
      <alignment horizontal="center" vertical="center" wrapText="1"/>
    </xf>
    <xf numFmtId="49" fontId="8" fillId="2" borderId="21" xfId="0" applyNumberFormat="1" applyFont="1" applyFill="1" applyBorder="1" applyAlignment="1">
      <alignment horizontal="center" vertical="center" wrapText="1"/>
    </xf>
    <xf numFmtId="49" fontId="8" fillId="2" borderId="22" xfId="0" applyNumberFormat="1" applyFont="1" applyFill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49" fontId="7" fillId="5" borderId="15" xfId="0" applyNumberFormat="1" applyFont="1" applyFill="1" applyBorder="1" applyAlignment="1">
      <alignment horizontal="left" vertical="center" wrapText="1"/>
    </xf>
    <xf numFmtId="49" fontId="7" fillId="5" borderId="18" xfId="0" applyNumberFormat="1" applyFont="1" applyFill="1" applyBorder="1" applyAlignment="1">
      <alignment horizontal="left" vertical="center" wrapText="1"/>
    </xf>
    <xf numFmtId="49" fontId="7" fillId="5" borderId="20" xfId="0" applyNumberFormat="1" applyFont="1" applyFill="1" applyBorder="1" applyAlignment="1">
      <alignment horizontal="left" vertical="center" wrapText="1"/>
    </xf>
    <xf numFmtId="0" fontId="30" fillId="3" borderId="7" xfId="0" applyNumberFormat="1" applyFont="1" applyFill="1" applyBorder="1" applyAlignment="1">
      <alignment horizontal="center" vertical="center"/>
    </xf>
    <xf numFmtId="0" fontId="31" fillId="0" borderId="7" xfId="0" applyNumberFormat="1" applyFont="1" applyBorder="1" applyAlignment="1">
      <alignment vertical="top"/>
    </xf>
    <xf numFmtId="0" fontId="8" fillId="2" borderId="16" xfId="0" applyFont="1" applyFill="1" applyBorder="1" applyAlignment="1">
      <alignment horizontal="right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0" fontId="21" fillId="5" borderId="6" xfId="0" applyNumberFormat="1" applyFont="1" applyFill="1" applyBorder="1" applyAlignment="1" applyProtection="1">
      <alignment horizontal="center" vertical="center" wrapText="1"/>
    </xf>
    <xf numFmtId="0" fontId="11" fillId="5" borderId="6" xfId="0" applyNumberFormat="1" applyFont="1" applyFill="1" applyBorder="1" applyAlignment="1" applyProtection="1">
      <alignment horizontal="center" vertical="center" wrapText="1"/>
    </xf>
    <xf numFmtId="49" fontId="11" fillId="5" borderId="18" xfId="0" applyNumberFormat="1" applyFont="1" applyFill="1" applyBorder="1" applyAlignment="1">
      <alignment horizontal="left" vertical="center" wrapText="1"/>
    </xf>
    <xf numFmtId="0" fontId="8" fillId="2" borderId="16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21" fillId="5" borderId="6" xfId="0" applyNumberFormat="1" applyFont="1" applyFill="1" applyBorder="1" applyAlignment="1">
      <alignment horizontal="center" vertical="center" wrapText="1"/>
    </xf>
    <xf numFmtId="0" fontId="8" fillId="2" borderId="21" xfId="0" applyFont="1" applyFill="1" applyBorder="1" applyAlignment="1">
      <alignment horizontal="center" vertical="center" wrapText="1"/>
    </xf>
    <xf numFmtId="0" fontId="8" fillId="2" borderId="22" xfId="0" applyFont="1" applyFill="1" applyBorder="1" applyAlignment="1">
      <alignment horizontal="center" vertical="center" wrapText="1"/>
    </xf>
    <xf numFmtId="0" fontId="8" fillId="2" borderId="21" xfId="0" applyFont="1" applyFill="1" applyBorder="1" applyAlignment="1">
      <alignment horizontal="right" vertical="center" wrapText="1"/>
    </xf>
    <xf numFmtId="168" fontId="8" fillId="2" borderId="6" xfId="0" applyNumberFormat="1" applyFont="1" applyFill="1" applyBorder="1" applyAlignment="1">
      <alignment horizontal="right" vertical="center" wrapText="1"/>
    </xf>
    <xf numFmtId="49" fontId="8" fillId="2" borderId="2" xfId="0" applyNumberFormat="1" applyFont="1" applyFill="1" applyBorder="1" applyAlignment="1">
      <alignment horizontal="right" vertical="center" wrapText="1"/>
    </xf>
    <xf numFmtId="49" fontId="7" fillId="5" borderId="10" xfId="0" applyNumberFormat="1" applyFont="1" applyFill="1" applyBorder="1" applyAlignment="1">
      <alignment horizontal="right" vertical="center" wrapText="1"/>
    </xf>
    <xf numFmtId="0" fontId="8" fillId="3" borderId="16" xfId="0" applyNumberFormat="1" applyFont="1" applyFill="1" applyBorder="1" applyAlignment="1">
      <alignment horizontal="right" vertical="center" wrapText="1"/>
    </xf>
    <xf numFmtId="2" fontId="8" fillId="3" borderId="6" xfId="0" applyNumberFormat="1" applyFont="1" applyFill="1" applyBorder="1" applyAlignment="1">
      <alignment horizontal="right" vertical="center" wrapText="1"/>
    </xf>
    <xf numFmtId="167" fontId="8" fillId="3" borderId="6" xfId="0" applyNumberFormat="1" applyFont="1" applyFill="1" applyBorder="1" applyAlignment="1">
      <alignment horizontal="right" vertical="center" wrapText="1"/>
    </xf>
    <xf numFmtId="170" fontId="8" fillId="2" borderId="13" xfId="0" applyNumberFormat="1" applyFont="1" applyFill="1" applyBorder="1" applyAlignment="1">
      <alignment horizontal="right" vertical="center" wrapText="1"/>
    </xf>
    <xf numFmtId="2" fontId="8" fillId="2" borderId="6" xfId="0" applyNumberFormat="1" applyFont="1" applyFill="1" applyBorder="1" applyAlignment="1">
      <alignment horizontal="right" vertical="center" wrapText="1"/>
    </xf>
    <xf numFmtId="0" fontId="8" fillId="2" borderId="6" xfId="0" applyNumberFormat="1" applyFont="1" applyFill="1" applyBorder="1" applyAlignment="1">
      <alignment horizontal="right" vertical="center" wrapText="1"/>
    </xf>
    <xf numFmtId="170" fontId="8" fillId="2" borderId="6" xfId="0" applyNumberFormat="1" applyFont="1" applyFill="1" applyBorder="1" applyAlignment="1">
      <alignment horizontal="right" vertical="center" wrapText="1"/>
    </xf>
    <xf numFmtId="0" fontId="0" fillId="0" borderId="15" xfId="0" applyNumberFormat="1" applyBorder="1" applyAlignment="1">
      <alignment horizontal="left" vertical="top" wrapText="1"/>
    </xf>
    <xf numFmtId="0" fontId="0" fillId="0" borderId="16" xfId="0" applyNumberFormat="1" applyBorder="1" applyAlignment="1">
      <alignment horizontal="left" vertical="top" wrapText="1"/>
    </xf>
    <xf numFmtId="0" fontId="0" fillId="0" borderId="17" xfId="0" applyNumberFormat="1" applyBorder="1" applyAlignment="1">
      <alignment horizontal="left" vertical="top" wrapText="1"/>
    </xf>
    <xf numFmtId="0" fontId="0" fillId="0" borderId="18" xfId="0" applyNumberFormat="1" applyBorder="1" applyAlignment="1">
      <alignment horizontal="left" vertical="top" wrapText="1"/>
    </xf>
    <xf numFmtId="0" fontId="0" fillId="0" borderId="6" xfId="0" applyNumberFormat="1" applyBorder="1" applyAlignment="1">
      <alignment horizontal="left" vertical="top" wrapText="1"/>
    </xf>
    <xf numFmtId="0" fontId="0" fillId="0" borderId="19" xfId="0" applyNumberFormat="1" applyBorder="1" applyAlignment="1">
      <alignment horizontal="left" vertical="top" wrapText="1"/>
    </xf>
    <xf numFmtId="0" fontId="0" fillId="0" borderId="20" xfId="0" applyNumberFormat="1" applyBorder="1" applyAlignment="1">
      <alignment horizontal="left" vertical="top" wrapText="1"/>
    </xf>
    <xf numFmtId="0" fontId="0" fillId="0" borderId="21" xfId="0" applyNumberFormat="1" applyBorder="1" applyAlignment="1">
      <alignment horizontal="left" vertical="top" wrapText="1"/>
    </xf>
    <xf numFmtId="0" fontId="0" fillId="0" borderId="22" xfId="0" applyNumberFormat="1" applyBorder="1" applyAlignment="1">
      <alignment horizontal="left" vertical="top" wrapText="1"/>
    </xf>
    <xf numFmtId="49" fontId="2" fillId="2" borderId="6" xfId="0" applyNumberFormat="1" applyFont="1" applyFill="1" applyBorder="1" applyAlignment="1">
      <alignment horizontal="center" vertical="center" wrapText="1"/>
    </xf>
    <xf numFmtId="0" fontId="8" fillId="2" borderId="21" xfId="0" applyFont="1" applyFill="1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0" fillId="0" borderId="21" xfId="0" applyBorder="1" applyAlignment="1">
      <alignment horizontal="left" vertical="center" wrapText="1"/>
    </xf>
    <xf numFmtId="0" fontId="0" fillId="0" borderId="22" xfId="0" applyBorder="1" applyAlignment="1">
      <alignment horizontal="left" vertical="center" wrapText="1"/>
    </xf>
    <xf numFmtId="0" fontId="8" fillId="2" borderId="6" xfId="0" applyFont="1" applyFill="1" applyBorder="1" applyAlignment="1">
      <alignment horizontal="left" vertical="top" wrapText="1"/>
    </xf>
    <xf numFmtId="0" fontId="8" fillId="2" borderId="19" xfId="0" applyFont="1" applyFill="1" applyBorder="1" applyAlignment="1">
      <alignment horizontal="left" vertical="top" wrapText="1"/>
    </xf>
    <xf numFmtId="49" fontId="7" fillId="4" borderId="15" xfId="0" applyNumberFormat="1" applyFont="1" applyFill="1" applyBorder="1" applyAlignment="1">
      <alignment horizontal="left" vertical="center" wrapText="1"/>
    </xf>
    <xf numFmtId="49" fontId="7" fillId="4" borderId="16" xfId="0" applyNumberFormat="1" applyFont="1" applyFill="1" applyBorder="1" applyAlignment="1">
      <alignment horizontal="left" vertical="center" wrapText="1"/>
    </xf>
    <xf numFmtId="49" fontId="7" fillId="4" borderId="20" xfId="0" applyNumberFormat="1" applyFont="1" applyFill="1" applyBorder="1" applyAlignment="1">
      <alignment horizontal="left" vertical="center" wrapText="1"/>
    </xf>
    <xf numFmtId="49" fontId="7" fillId="4" borderId="21" xfId="0" applyNumberFormat="1" applyFont="1" applyFill="1" applyBorder="1" applyAlignment="1">
      <alignment horizontal="left" vertical="center" wrapText="1"/>
    </xf>
    <xf numFmtId="49" fontId="17" fillId="2" borderId="6" xfId="0" applyNumberFormat="1" applyFont="1" applyFill="1" applyBorder="1" applyAlignment="1">
      <alignment horizontal="left" vertical="center" wrapText="1"/>
    </xf>
    <xf numFmtId="0" fontId="25" fillId="2" borderId="16" xfId="0" applyFont="1" applyFill="1" applyBorder="1" applyAlignment="1">
      <alignment horizontal="right" vertical="center" wrapText="1"/>
    </xf>
    <xf numFmtId="0" fontId="25" fillId="2" borderId="17" xfId="0" applyFont="1" applyFill="1" applyBorder="1" applyAlignment="1">
      <alignment horizontal="right" vertical="center" wrapText="1"/>
    </xf>
    <xf numFmtId="0" fontId="7" fillId="6" borderId="16" xfId="0" applyFont="1" applyFill="1" applyBorder="1" applyAlignment="1">
      <alignment horizontal="center" vertical="center" wrapText="1"/>
    </xf>
    <xf numFmtId="49" fontId="8" fillId="5" borderId="21" xfId="0" applyNumberFormat="1" applyFont="1" applyFill="1" applyBorder="1" applyAlignment="1">
      <alignment horizontal="left" vertical="center" wrapText="1"/>
    </xf>
    <xf numFmtId="0" fontId="0" fillId="0" borderId="6" xfId="0" applyNumberFormat="1" applyBorder="1" applyAlignment="1">
      <alignment horizontal="center" vertical="top" wrapText="1"/>
    </xf>
    <xf numFmtId="49" fontId="5" fillId="2" borderId="6" xfId="0" applyNumberFormat="1" applyFont="1" applyFill="1" applyBorder="1" applyAlignment="1">
      <alignment horizontal="left" vertical="center" wrapText="1"/>
    </xf>
    <xf numFmtId="49" fontId="11" fillId="5" borderId="35" xfId="0" applyNumberFormat="1" applyFont="1" applyFill="1" applyBorder="1" applyAlignment="1">
      <alignment vertical="center" wrapText="1"/>
    </xf>
    <xf numFmtId="49" fontId="12" fillId="5" borderId="37" xfId="0" applyNumberFormat="1" applyFont="1" applyFill="1" applyBorder="1" applyAlignment="1">
      <alignment horizontal="center" vertical="center" wrapText="1"/>
    </xf>
    <xf numFmtId="2" fontId="0" fillId="0" borderId="36" xfId="0" applyNumberFormat="1" applyFill="1" applyBorder="1" applyAlignment="1">
      <alignment horizontal="center" vertical="center" wrapText="1"/>
    </xf>
  </cellXfs>
  <cellStyles count="1">
    <cellStyle name="Normal" xfId="0" builtinId="0"/>
  </cellStyles>
  <dxfs count="10">
    <dxf>
      <font>
        <color rgb="FF000000"/>
      </font>
      <fill>
        <patternFill patternType="solid">
          <fgColor indexed="12"/>
          <bgColor indexed="25"/>
        </patternFill>
      </fill>
    </dxf>
    <dxf>
      <font>
        <color rgb="FF000000"/>
      </font>
      <fill>
        <patternFill patternType="solid">
          <fgColor indexed="12"/>
          <bgColor indexed="14"/>
        </patternFill>
      </fill>
    </dxf>
    <dxf>
      <font>
        <color rgb="FF000000"/>
      </font>
      <fill>
        <patternFill patternType="solid">
          <fgColor indexed="12"/>
          <bgColor indexed="23"/>
        </patternFill>
      </fill>
    </dxf>
    <dxf>
      <font>
        <color rgb="FF000000"/>
      </font>
      <fill>
        <patternFill patternType="solid">
          <fgColor indexed="12"/>
          <bgColor indexed="14"/>
        </patternFill>
      </fill>
    </dxf>
    <dxf>
      <font>
        <color rgb="FF000000"/>
      </font>
      <fill>
        <patternFill patternType="solid">
          <fgColor indexed="12"/>
          <bgColor indexed="23"/>
        </patternFill>
      </fill>
    </dxf>
    <dxf>
      <font>
        <color rgb="FF000000"/>
      </font>
      <fill>
        <patternFill patternType="solid">
          <fgColor indexed="12"/>
          <bgColor indexed="15"/>
        </patternFill>
      </fill>
    </dxf>
    <dxf>
      <font>
        <color rgb="FF000000"/>
      </font>
      <fill>
        <patternFill patternType="solid">
          <fgColor indexed="12"/>
          <bgColor indexed="14"/>
        </patternFill>
      </fill>
    </dxf>
    <dxf>
      <font>
        <color rgb="FF000000"/>
      </font>
      <fill>
        <patternFill patternType="solid">
          <fgColor indexed="12"/>
          <bgColor indexed="13"/>
        </patternFill>
      </fill>
    </dxf>
    <dxf>
      <font>
        <color rgb="FF000000"/>
      </font>
      <fill>
        <patternFill patternType="solid">
          <fgColor indexed="12"/>
          <bgColor indexed="14"/>
        </patternFill>
      </fill>
    </dxf>
    <dxf>
      <font>
        <color rgb="FF000000"/>
      </font>
      <fill>
        <patternFill patternType="solid">
          <fgColor indexed="12"/>
          <bgColor indexed="13"/>
        </patternFill>
      </fill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539BC8"/>
      <rgbColor rgb="FFFFFFFF"/>
      <rgbColor rgb="FFA5A5A5"/>
      <rgbColor rgb="00000000"/>
      <rgbColor rgb="E5AFE489"/>
      <rgbColor rgb="E5FF9781"/>
      <rgbColor rgb="E5FFFC98"/>
      <rgbColor rgb="FFDDDDDD"/>
      <rgbColor rgb="FF7F7F7F"/>
      <rgbColor rgb="FFEAEAEA"/>
      <rgbColor rgb="FFD8D8D8"/>
      <rgbColor rgb="FFFEFFFF"/>
      <rgbColor rgb="FF7C7C7C"/>
      <rgbColor rgb="FFDCDCDC"/>
      <rgbColor rgb="E588CCFF"/>
      <rgbColor rgb="FF3F3F3F"/>
      <rgbColor rgb="FFFF9781"/>
      <rgbColor rgb="FFBDC0BF"/>
      <rgbColor rgb="FFBFBEB7"/>
      <rgbColor rgb="FF515151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5400" dir="5400000" rotWithShape="0">
            <a:srgbClr val="000000">
              <a:alpha val="50000"/>
            </a:srgbClr>
          </a:outerShdw>
        </a:effectLst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Helvetica"/>
            <a:ea typeface="Helvetica"/>
            <a:cs typeface="Helvetica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5400" dir="5400000" rotWithShape="0">
            <a:srgbClr val="000000">
              <a:alpha val="50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Helvetica"/>
            <a:ea typeface="Helvetica"/>
            <a:cs typeface="Helvetica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71"/>
  <sheetViews>
    <sheetView showGridLines="0" tabSelected="1" zoomScale="130" zoomScaleNormal="130" workbookViewId="0">
      <selection activeCell="L41" sqref="L41"/>
    </sheetView>
  </sheetViews>
  <sheetFormatPr baseColWidth="10" defaultColWidth="16.33203125" defaultRowHeight="12" customHeight="1"/>
  <cols>
    <col min="1" max="1" width="28" style="1" customWidth="1"/>
    <col min="2" max="4" width="11.5" style="1" customWidth="1"/>
    <col min="5" max="5" width="15.1640625" style="1" customWidth="1"/>
    <col min="6" max="6" width="6.33203125" style="1" customWidth="1"/>
    <col min="7" max="7" width="17" style="1" customWidth="1"/>
    <col min="8" max="8" width="13.6640625" style="1" customWidth="1"/>
    <col min="9" max="10" width="13.33203125" style="1" customWidth="1"/>
    <col min="11" max="21" width="10.6640625" style="1" customWidth="1"/>
    <col min="22" max="22" width="10.33203125" style="1" customWidth="1"/>
    <col min="23" max="23" width="16.33203125" style="1" customWidth="1"/>
    <col min="24" max="16384" width="16.33203125" style="1"/>
  </cols>
  <sheetData>
    <row r="1" spans="1:10" ht="39.5" customHeight="1">
      <c r="A1" s="167" t="s">
        <v>91</v>
      </c>
      <c r="B1" s="167"/>
      <c r="C1" s="167"/>
      <c r="D1" s="94"/>
      <c r="E1" s="50"/>
      <c r="I1" s="155" t="str">
        <f>IF(H40=0,"TEST",IF(H38="PASS","PASS",IF(I38="PASS","PASS","FAIL")))</f>
        <v>TEST</v>
      </c>
      <c r="J1" s="155"/>
    </row>
    <row r="2" spans="1:10" ht="20" customHeight="1">
      <c r="A2" s="167"/>
      <c r="B2" s="167"/>
      <c r="C2" s="167"/>
      <c r="D2" s="94"/>
      <c r="E2" s="50"/>
      <c r="I2" s="155"/>
      <c r="J2" s="155"/>
    </row>
    <row r="3" spans="1:10" ht="20" customHeight="1"/>
    <row r="4" spans="1:10" ht="20" customHeight="1">
      <c r="A4" s="96" t="s">
        <v>0</v>
      </c>
      <c r="B4" s="97"/>
      <c r="C4" s="168"/>
      <c r="D4" s="168"/>
      <c r="E4" s="169"/>
      <c r="H4" s="163" t="s">
        <v>96</v>
      </c>
      <c r="I4" s="164"/>
      <c r="J4" s="46"/>
    </row>
    <row r="5" spans="1:10" ht="20" customHeight="1">
      <c r="A5" s="98" t="s">
        <v>1</v>
      </c>
      <c r="B5" s="99"/>
      <c r="C5" s="100" t="str">
        <f>"CC"&amp;E4&amp;"-"&amp;J5+1</f>
        <v>CC-1</v>
      </c>
      <c r="D5" s="100"/>
      <c r="E5" s="101"/>
      <c r="H5" s="165" t="str">
        <f>IF(J4=FALSE,"Previous Certificate Suffix","")</f>
        <v>Previous Certificate Suffix</v>
      </c>
      <c r="I5" s="166"/>
      <c r="J5" s="51"/>
    </row>
    <row r="6" spans="1:10" ht="20" customHeight="1"/>
    <row r="7" spans="1:10" ht="20" customHeight="1">
      <c r="A7" s="2" t="s">
        <v>2</v>
      </c>
      <c r="B7" s="2"/>
      <c r="C7" s="2"/>
      <c r="D7" s="2"/>
      <c r="E7" s="2"/>
      <c r="F7" s="2"/>
      <c r="G7" s="2"/>
      <c r="H7" s="2"/>
      <c r="I7" s="2"/>
    </row>
    <row r="8" spans="1:10" ht="20" customHeight="1">
      <c r="A8" s="20" t="s">
        <v>3</v>
      </c>
      <c r="B8" s="170"/>
      <c r="C8" s="170"/>
      <c r="D8" s="170"/>
      <c r="E8" s="53" t="s">
        <v>4</v>
      </c>
      <c r="F8" s="108"/>
      <c r="G8" s="108"/>
      <c r="H8" s="119" t="s">
        <v>5</v>
      </c>
      <c r="I8" s="115"/>
      <c r="J8" s="116"/>
    </row>
    <row r="9" spans="1:10" ht="20" customHeight="1">
      <c r="A9" s="104" t="s">
        <v>6</v>
      </c>
      <c r="B9" s="161"/>
      <c r="C9" s="161"/>
      <c r="D9" s="162"/>
      <c r="E9" s="42" t="s">
        <v>7</v>
      </c>
      <c r="F9" s="173" t="str">
        <f>IF(F8="","",F8+365)</f>
        <v/>
      </c>
      <c r="G9" s="173"/>
      <c r="H9" s="120"/>
      <c r="I9" s="117"/>
      <c r="J9" s="118"/>
    </row>
    <row r="10" spans="1:10" ht="20" customHeight="1">
      <c r="A10" s="105"/>
      <c r="B10" s="161"/>
      <c r="C10" s="161"/>
      <c r="D10" s="162"/>
      <c r="E10" s="42" t="s">
        <v>8</v>
      </c>
      <c r="F10" s="172"/>
      <c r="G10" s="172"/>
      <c r="H10" s="121"/>
      <c r="I10" s="109"/>
      <c r="J10" s="110"/>
    </row>
    <row r="11" spans="1:10" ht="20" customHeight="1">
      <c r="A11" s="105"/>
      <c r="B11" s="161"/>
      <c r="C11" s="161"/>
      <c r="D11" s="162"/>
      <c r="E11" s="106"/>
      <c r="F11" s="157"/>
      <c r="G11" s="158"/>
      <c r="H11" s="45" t="s">
        <v>9</v>
      </c>
      <c r="I11" s="111"/>
      <c r="J11" s="112"/>
    </row>
    <row r="12" spans="1:10" ht="20" customHeight="1">
      <c r="A12" s="105"/>
      <c r="B12" s="161"/>
      <c r="C12" s="161"/>
      <c r="D12" s="162"/>
      <c r="E12" s="107"/>
      <c r="F12" s="159"/>
      <c r="G12" s="160"/>
      <c r="H12" s="45" t="s">
        <v>89</v>
      </c>
      <c r="I12" s="111"/>
      <c r="J12" s="112"/>
    </row>
    <row r="13" spans="1:10" ht="27" customHeight="1">
      <c r="A13" s="21" t="s">
        <v>10</v>
      </c>
      <c r="B13" s="156"/>
      <c r="C13" s="156"/>
      <c r="D13" s="156"/>
      <c r="E13" s="54" t="s">
        <v>90</v>
      </c>
      <c r="F13" s="171" t="s">
        <v>11</v>
      </c>
      <c r="G13" s="171"/>
      <c r="H13" s="43" t="s">
        <v>12</v>
      </c>
      <c r="I13" s="113"/>
      <c r="J13" s="114"/>
    </row>
    <row r="14" spans="1:10" s="50" customFormat="1" ht="20" customHeight="1">
      <c r="A14" s="47"/>
      <c r="B14" s="48"/>
      <c r="C14" s="48"/>
      <c r="D14" s="48"/>
      <c r="E14" s="72"/>
      <c r="F14" s="47"/>
      <c r="G14" s="47"/>
      <c r="H14" s="49"/>
      <c r="I14" s="35"/>
      <c r="J14" s="35"/>
    </row>
    <row r="15" spans="1:10" ht="20" customHeight="1">
      <c r="A15" s="2" t="s">
        <v>13</v>
      </c>
      <c r="B15" s="2"/>
      <c r="C15" s="2"/>
      <c r="D15" s="2"/>
      <c r="E15" s="2"/>
      <c r="G15" s="2" t="s">
        <v>22</v>
      </c>
      <c r="H15" s="2"/>
      <c r="I15" s="2"/>
      <c r="J15" s="2"/>
    </row>
    <row r="16" spans="1:10" ht="20" customHeight="1">
      <c r="A16" s="26" t="s">
        <v>14</v>
      </c>
      <c r="B16" s="124"/>
      <c r="C16" s="124"/>
      <c r="D16" s="124"/>
      <c r="E16" s="27"/>
      <c r="G16" s="55"/>
      <c r="H16" s="90" t="s">
        <v>23</v>
      </c>
      <c r="I16" s="90" t="s">
        <v>24</v>
      </c>
      <c r="J16" s="56"/>
    </row>
    <row r="17" spans="1:10" ht="20" customHeight="1">
      <c r="A17" s="28" t="s">
        <v>15</v>
      </c>
      <c r="B17" s="102"/>
      <c r="C17" s="102"/>
      <c r="D17" s="102"/>
      <c r="E17" s="29" t="s">
        <v>16</v>
      </c>
      <c r="G17" s="57" t="s">
        <v>25</v>
      </c>
      <c r="H17" s="122" t="str">
        <f>IF(1=1,"Target: " &amp; ROUND(B27,2) &amp; " m/s",0)</f>
        <v>Target: 0 m/s</v>
      </c>
      <c r="I17" s="123"/>
      <c r="J17" s="58" t="s">
        <v>26</v>
      </c>
    </row>
    <row r="18" spans="1:10" ht="20" customHeight="1">
      <c r="A18" s="28" t="s">
        <v>17</v>
      </c>
      <c r="B18" s="102"/>
      <c r="C18" s="102"/>
      <c r="D18" s="102"/>
      <c r="E18" s="29" t="s">
        <v>18</v>
      </c>
      <c r="G18" s="59">
        <v>1</v>
      </c>
      <c r="H18" s="3"/>
      <c r="I18" s="3"/>
      <c r="J18" s="60" t="s">
        <v>27</v>
      </c>
    </row>
    <row r="19" spans="1:10" ht="20" customHeight="1">
      <c r="A19" s="28" t="s">
        <v>19</v>
      </c>
      <c r="B19" s="103"/>
      <c r="C19" s="103"/>
      <c r="D19" s="103"/>
      <c r="E19" s="29" t="s">
        <v>20</v>
      </c>
      <c r="G19" s="61">
        <v>2</v>
      </c>
      <c r="H19" s="3"/>
      <c r="I19" s="3"/>
      <c r="J19" s="62" t="s">
        <v>27</v>
      </c>
    </row>
    <row r="20" spans="1:10" ht="20" customHeight="1">
      <c r="A20" s="28" t="s">
        <v>21</v>
      </c>
      <c r="B20" s="102"/>
      <c r="C20" s="102"/>
      <c r="D20" s="102"/>
      <c r="E20" s="29"/>
      <c r="G20" s="61">
        <v>3</v>
      </c>
      <c r="H20" s="3"/>
      <c r="I20" s="3"/>
      <c r="J20" s="62" t="s">
        <v>27</v>
      </c>
    </row>
    <row r="21" spans="1:10" ht="20" customHeight="1">
      <c r="A21" s="23" t="str">
        <f>IF(IFERROR(SEARCH("MB1",$B$16),"")="","Recorded Total Volume","")</f>
        <v>Recorded Total Volume</v>
      </c>
      <c r="B21" s="102"/>
      <c r="C21" s="102"/>
      <c r="D21" s="102"/>
      <c r="E21" s="29" t="str">
        <f>IF(IFERROR(SEARCH("MB1",$B$16),"")="","Litres","")</f>
        <v>Litres</v>
      </c>
      <c r="G21" s="61">
        <v>4</v>
      </c>
      <c r="H21" s="3"/>
      <c r="I21" s="3"/>
      <c r="J21" s="62" t="s">
        <v>27</v>
      </c>
    </row>
    <row r="22" spans="1:10" ht="20" customHeight="1">
      <c r="A22" s="30" t="str">
        <f>IF(IFERROR(SEARCH("MB1",$B$16),"")="","Recorded Total Samples","")</f>
        <v>Recorded Total Samples</v>
      </c>
      <c r="B22" s="135"/>
      <c r="C22" s="135"/>
      <c r="D22" s="135"/>
      <c r="E22" s="31"/>
      <c r="G22" s="61">
        <v>5</v>
      </c>
      <c r="H22" s="3"/>
      <c r="I22" s="3"/>
      <c r="J22" s="62" t="s">
        <v>27</v>
      </c>
    </row>
    <row r="23" spans="1:10" ht="20" customHeight="1">
      <c r="G23" s="61">
        <v>6</v>
      </c>
      <c r="H23" s="3"/>
      <c r="I23" s="3"/>
      <c r="J23" s="62" t="s">
        <v>27</v>
      </c>
    </row>
    <row r="24" spans="1:10" ht="20" customHeight="1">
      <c r="G24" s="61">
        <v>7</v>
      </c>
      <c r="H24" s="3"/>
      <c r="I24" s="3"/>
      <c r="J24" s="62" t="s">
        <v>27</v>
      </c>
    </row>
    <row r="25" spans="1:10" ht="20" customHeight="1">
      <c r="A25" s="2" t="s">
        <v>42</v>
      </c>
      <c r="B25" s="2"/>
      <c r="C25" s="2"/>
      <c r="D25" s="2"/>
      <c r="E25" s="2"/>
      <c r="G25" s="61">
        <v>8</v>
      </c>
      <c r="H25" s="3"/>
      <c r="I25" s="3"/>
      <c r="J25" s="62" t="s">
        <v>27</v>
      </c>
    </row>
    <row r="26" spans="1:10" ht="20" customHeight="1">
      <c r="A26" s="32" t="s">
        <v>43</v>
      </c>
      <c r="B26" s="139">
        <f>B17</f>
        <v>0</v>
      </c>
      <c r="C26" s="139"/>
      <c r="D26" s="139"/>
      <c r="E26" s="27" t="s">
        <v>16</v>
      </c>
      <c r="G26" s="61">
        <v>9</v>
      </c>
      <c r="H26" s="3"/>
      <c r="I26" s="3"/>
      <c r="J26" s="62" t="s">
        <v>27</v>
      </c>
    </row>
    <row r="27" spans="1:10" ht="20" customHeight="1">
      <c r="A27" s="33" t="s">
        <v>44</v>
      </c>
      <c r="B27" s="140">
        <f>B51*B26+B52</f>
        <v>0</v>
      </c>
      <c r="C27" s="140"/>
      <c r="D27" s="140"/>
      <c r="E27" s="29" t="s">
        <v>27</v>
      </c>
      <c r="G27" s="61">
        <v>10</v>
      </c>
      <c r="H27" s="3"/>
      <c r="I27" s="3"/>
      <c r="J27" s="62" t="s">
        <v>27</v>
      </c>
    </row>
    <row r="28" spans="1:10" ht="20" customHeight="1">
      <c r="A28" s="33" t="s">
        <v>45</v>
      </c>
      <c r="B28" s="141">
        <v>5</v>
      </c>
      <c r="C28" s="141"/>
      <c r="D28" s="141"/>
      <c r="E28" s="29" t="s">
        <v>46</v>
      </c>
      <c r="G28" s="61">
        <v>11</v>
      </c>
      <c r="H28" s="3"/>
      <c r="I28" s="3"/>
      <c r="J28" s="62" t="s">
        <v>27</v>
      </c>
    </row>
    <row r="29" spans="1:10" ht="20" customHeight="1">
      <c r="A29" s="33" t="s">
        <v>47</v>
      </c>
      <c r="B29" s="140">
        <f>$B$27+($B$27*($B$28/100))</f>
        <v>0</v>
      </c>
      <c r="C29" s="140"/>
      <c r="D29" s="140"/>
      <c r="E29" s="29" t="s">
        <v>27</v>
      </c>
      <c r="G29" s="61">
        <v>12</v>
      </c>
      <c r="H29" s="3"/>
      <c r="I29" s="3"/>
      <c r="J29" s="62" t="s">
        <v>27</v>
      </c>
    </row>
    <row r="30" spans="1:10" ht="20" customHeight="1">
      <c r="A30" s="33" t="s">
        <v>48</v>
      </c>
      <c r="B30" s="140">
        <f>$B$27-($B$27*($B$28/100))</f>
        <v>0</v>
      </c>
      <c r="C30" s="140"/>
      <c r="D30" s="140"/>
      <c r="E30" s="29" t="s">
        <v>27</v>
      </c>
      <c r="G30" s="68" t="s">
        <v>28</v>
      </c>
      <c r="H30" s="69">
        <f>IF(COUNT(H18:H29)=12,AVERAGE(H18:H29),0)</f>
        <v>0</v>
      </c>
      <c r="I30" s="95">
        <f>IF(H36="NONE","",IF(COUNT(I18:I29)=12,AVERAGE(I18:I29),0))</f>
        <v>0</v>
      </c>
      <c r="J30" s="70" t="s">
        <v>27</v>
      </c>
    </row>
    <row r="31" spans="1:10" ht="20" customHeight="1">
      <c r="A31" s="33" t="s">
        <v>49</v>
      </c>
      <c r="B31" s="103"/>
      <c r="C31" s="103"/>
      <c r="D31" s="103"/>
      <c r="E31" s="29" t="s">
        <v>50</v>
      </c>
      <c r="G31" s="63" t="s">
        <v>29</v>
      </c>
      <c r="H31" s="4">
        <f>IF(H30=0,0,STDEV(H18:H29))</f>
        <v>0</v>
      </c>
      <c r="I31" s="4">
        <f>IF(H36="NONE","",IF(I30=0,0,STDEV(I18:I29)))</f>
        <v>0</v>
      </c>
      <c r="J31" s="64"/>
    </row>
    <row r="32" spans="1:10" ht="20" customHeight="1">
      <c r="A32" s="34" t="s">
        <v>51</v>
      </c>
      <c r="B32" s="135"/>
      <c r="C32" s="135"/>
      <c r="D32" s="135"/>
      <c r="E32" s="31" t="s">
        <v>52</v>
      </c>
      <c r="G32" s="63" t="s">
        <v>30</v>
      </c>
      <c r="H32" s="4">
        <f>IF(H31=0,0,CONFIDENCE(0.05,H31,12))</f>
        <v>0</v>
      </c>
      <c r="I32" s="4">
        <f>IF(H36="NONE","",IF(I30=0,0,CONFIDENCE(0.05,I31,12)))</f>
        <v>0</v>
      </c>
      <c r="J32" s="64"/>
    </row>
    <row r="33" spans="1:10" ht="20" customHeight="1">
      <c r="G33" s="63" t="s">
        <v>31</v>
      </c>
      <c r="H33" s="5">
        <f>H30+H32</f>
        <v>0</v>
      </c>
      <c r="I33" s="5">
        <f>IF(H36="NONE","",I30+I32)</f>
        <v>0</v>
      </c>
      <c r="J33" s="64" t="s">
        <v>27</v>
      </c>
    </row>
    <row r="34" spans="1:10" ht="20" customHeight="1">
      <c r="G34" s="63" t="s">
        <v>32</v>
      </c>
      <c r="H34" s="5">
        <f>H30-H32</f>
        <v>0</v>
      </c>
      <c r="I34" s="5">
        <f>IF(H36="NONE","",I30-I32)</f>
        <v>0</v>
      </c>
      <c r="J34" s="64" t="s">
        <v>27</v>
      </c>
    </row>
    <row r="35" spans="1:10" ht="20" customHeight="1">
      <c r="G35" s="174" t="s">
        <v>99</v>
      </c>
      <c r="H35" s="176"/>
      <c r="I35" s="176"/>
      <c r="J35" s="175" t="s">
        <v>100</v>
      </c>
    </row>
    <row r="36" spans="1:10" ht="20" customHeight="1">
      <c r="A36" s="2" t="s">
        <v>23</v>
      </c>
      <c r="B36" s="2"/>
      <c r="C36" s="2"/>
      <c r="D36" s="2"/>
      <c r="G36" s="129" t="s">
        <v>33</v>
      </c>
      <c r="H36" s="127" t="str">
        <f>IF(H30=0,"PERORM INSPECTION TEST",IF(H45=0,"REDUCE FLOW RATE",IF(H46=0,"INCREASE FLOW RATE","NONE")))</f>
        <v>PERORM INSPECTION TEST</v>
      </c>
      <c r="I36" s="127" t="str">
        <f>IF(R36&gt;0,"ADJUSTED",IF(R36&gt;=0,"NONE",IF(R43=0,"REDUCE FLOW RATE",IF(R44=0,"INCREASE FLOW RATE","NONE"))))</f>
        <v>NONE</v>
      </c>
      <c r="J36" s="64"/>
    </row>
    <row r="37" spans="1:10" ht="20" customHeight="1">
      <c r="A37" s="22" t="s">
        <v>53</v>
      </c>
      <c r="B37" s="130"/>
      <c r="C37" s="130"/>
      <c r="D37" s="130"/>
      <c r="E37" s="131"/>
      <c r="G37" s="129"/>
      <c r="H37" s="128"/>
      <c r="I37" s="128"/>
      <c r="J37" s="64"/>
    </row>
    <row r="38" spans="1:10" ht="20" customHeight="1">
      <c r="A38" s="23" t="s">
        <v>54</v>
      </c>
      <c r="B38" s="125"/>
      <c r="C38" s="125"/>
      <c r="D38" s="125"/>
      <c r="E38" s="126"/>
      <c r="G38" s="129" t="s">
        <v>34</v>
      </c>
      <c r="H38" s="132" t="str">
        <f>IF(H30=0,"",IF(H47&lt;&gt;2,"FAIL","PASS"))</f>
        <v/>
      </c>
      <c r="I38" s="132" t="str">
        <f>IF(H38="PASS","",IF(I30=0,"",IF(I47&lt;&gt;2,"FAIL","PASS")))</f>
        <v/>
      </c>
      <c r="J38" s="64"/>
    </row>
    <row r="39" spans="1:10" ht="20" customHeight="1">
      <c r="A39" s="23" t="s">
        <v>55</v>
      </c>
      <c r="B39" s="125"/>
      <c r="C39" s="125"/>
      <c r="D39" s="125"/>
      <c r="E39" s="126"/>
      <c r="G39" s="129"/>
      <c r="H39" s="132"/>
      <c r="I39" s="132"/>
      <c r="J39" s="64"/>
    </row>
    <row r="40" spans="1:10" ht="20" customHeight="1">
      <c r="A40" s="23" t="s">
        <v>56</v>
      </c>
      <c r="B40" s="125"/>
      <c r="C40" s="125"/>
      <c r="D40" s="125"/>
      <c r="E40" s="126"/>
      <c r="G40" s="91" t="s">
        <v>95</v>
      </c>
      <c r="H40" s="92">
        <f>IF(H30=0,0,(H30-$B$52)/$B$51)</f>
        <v>0</v>
      </c>
      <c r="I40" s="92">
        <f>IF(I30=0,0,(I30-$B$52)/$B$51)</f>
        <v>0</v>
      </c>
      <c r="J40" s="93" t="s">
        <v>16</v>
      </c>
    </row>
    <row r="41" spans="1:10" ht="20" customHeight="1">
      <c r="A41" s="23" t="s">
        <v>57</v>
      </c>
      <c r="B41" s="125"/>
      <c r="C41" s="125"/>
      <c r="D41" s="125"/>
      <c r="E41" s="126"/>
      <c r="G41" s="63" t="s">
        <v>35</v>
      </c>
      <c r="H41" s="92">
        <f>IF(H30=0,0,(H33-$B$52)/$B$51)</f>
        <v>0</v>
      </c>
      <c r="I41" s="92">
        <f>IF(I30=0,0,(I33-$B$52)/$B$51)</f>
        <v>0</v>
      </c>
      <c r="J41" s="64" t="s">
        <v>16</v>
      </c>
    </row>
    <row r="42" spans="1:10" ht="20" customHeight="1">
      <c r="A42" s="23" t="s">
        <v>58</v>
      </c>
      <c r="B42" s="125"/>
      <c r="C42" s="125"/>
      <c r="D42" s="125"/>
      <c r="E42" s="126"/>
      <c r="G42" s="63" t="s">
        <v>36</v>
      </c>
      <c r="H42" s="92">
        <f>IF(H30=0,0,(H34-$B$52)/$B$51)</f>
        <v>0</v>
      </c>
      <c r="I42" s="92">
        <f>IF(I30=0,0,(I34-$B$52)/$B$51)</f>
        <v>0</v>
      </c>
      <c r="J42" s="64" t="s">
        <v>16</v>
      </c>
    </row>
    <row r="43" spans="1:10" ht="20" customHeight="1">
      <c r="A43" s="23" t="s">
        <v>59</v>
      </c>
      <c r="B43" s="125"/>
      <c r="C43" s="125"/>
      <c r="D43" s="125"/>
      <c r="E43" s="126"/>
      <c r="G43" s="63" t="s">
        <v>37</v>
      </c>
      <c r="H43" s="6" t="str">
        <f>IF(H40&gt;0,H63,"")</f>
        <v/>
      </c>
      <c r="I43" s="6" t="str">
        <f>IF(I30=0,"",IF(I40&gt;0,H68,""))</f>
        <v/>
      </c>
      <c r="J43" s="64" t="s">
        <v>38</v>
      </c>
    </row>
    <row r="44" spans="1:10" ht="20" customHeight="1">
      <c r="A44" s="24" t="s">
        <v>60</v>
      </c>
      <c r="B44" s="133"/>
      <c r="C44" s="133"/>
      <c r="D44" s="133"/>
      <c r="E44" s="134"/>
      <c r="G44" s="65" t="s">
        <v>39</v>
      </c>
      <c r="H44" s="66" t="str">
        <f>IF(H40&gt;0,I63,"")</f>
        <v/>
      </c>
      <c r="I44" s="66" t="str">
        <f>IF(I30=0,"",IF(I40&gt;0,I68,""))</f>
        <v/>
      </c>
      <c r="J44" s="67" t="s">
        <v>27</v>
      </c>
    </row>
    <row r="45" spans="1:10" ht="20" hidden="1" customHeight="1">
      <c r="G45" s="36" t="s">
        <v>40</v>
      </c>
      <c r="H45" s="40">
        <f>IF(H33&gt;$B$29,0,1)</f>
        <v>1</v>
      </c>
      <c r="I45" s="40">
        <f>IF(I33&gt;$B$29,0,1)</f>
        <v>1</v>
      </c>
      <c r="J45" s="37"/>
    </row>
    <row r="46" spans="1:10" ht="20" hidden="1" customHeight="1">
      <c r="G46" s="36" t="s">
        <v>41</v>
      </c>
      <c r="H46" s="40">
        <f>IF(H34&lt;$B$30,0,1)</f>
        <v>1</v>
      </c>
      <c r="I46" s="40">
        <f>IF(I34&lt;$B$30,0,1)</f>
        <v>1</v>
      </c>
      <c r="J46" s="37"/>
    </row>
    <row r="47" spans="1:10" ht="20" hidden="1" customHeight="1">
      <c r="G47" s="38" t="s">
        <v>88</v>
      </c>
      <c r="H47" s="41">
        <f>H45+H46</f>
        <v>2</v>
      </c>
      <c r="I47" s="41">
        <f>I45+I46</f>
        <v>2</v>
      </c>
      <c r="J47" s="39"/>
    </row>
    <row r="48" spans="1:10" ht="20" customHeight="1">
      <c r="G48" s="25"/>
      <c r="H48" s="44"/>
      <c r="I48" s="44"/>
      <c r="J48" s="52"/>
    </row>
    <row r="49" spans="1:10" ht="20" customHeight="1">
      <c r="A49" s="2" t="s">
        <v>61</v>
      </c>
      <c r="B49" s="2"/>
      <c r="C49" s="2"/>
      <c r="D49" s="2"/>
      <c r="E49" s="2"/>
      <c r="G49" s="71" t="s">
        <v>71</v>
      </c>
    </row>
    <row r="50" spans="1:10" ht="20" customHeight="1">
      <c r="A50" s="7" t="s">
        <v>62</v>
      </c>
      <c r="B50" s="138" t="s">
        <v>63</v>
      </c>
      <c r="C50" s="138"/>
      <c r="D50" s="138"/>
      <c r="E50" s="8" t="s">
        <v>26</v>
      </c>
      <c r="G50" s="146"/>
      <c r="H50" s="147"/>
      <c r="I50" s="147"/>
      <c r="J50" s="148"/>
    </row>
    <row r="51" spans="1:10" ht="20" customHeight="1">
      <c r="A51" s="9" t="s">
        <v>97</v>
      </c>
      <c r="B51" s="142"/>
      <c r="C51" s="142"/>
      <c r="D51" s="142"/>
      <c r="E51" s="10"/>
      <c r="G51" s="149"/>
      <c r="H51" s="150"/>
      <c r="I51" s="150"/>
      <c r="J51" s="151"/>
    </row>
    <row r="52" spans="1:10" ht="20" customHeight="1">
      <c r="A52" s="11" t="s">
        <v>98</v>
      </c>
      <c r="B52" s="145"/>
      <c r="C52" s="145"/>
      <c r="D52" s="145"/>
      <c r="E52" s="12"/>
      <c r="G52" s="149"/>
      <c r="H52" s="150"/>
      <c r="I52" s="150"/>
      <c r="J52" s="151"/>
    </row>
    <row r="53" spans="1:10" ht="20" customHeight="1">
      <c r="A53" s="11" t="s">
        <v>64</v>
      </c>
      <c r="B53" s="143">
        <v>20</v>
      </c>
      <c r="C53" s="143"/>
      <c r="D53" s="143"/>
      <c r="E53" s="12" t="s">
        <v>50</v>
      </c>
      <c r="G53" s="149"/>
      <c r="H53" s="150"/>
      <c r="I53" s="150"/>
      <c r="J53" s="151"/>
    </row>
    <row r="54" spans="1:10" ht="20" customHeight="1">
      <c r="A54" s="11" t="s">
        <v>65</v>
      </c>
      <c r="B54" s="144">
        <v>1013.25</v>
      </c>
      <c r="C54" s="144"/>
      <c r="D54" s="144"/>
      <c r="E54" s="12" t="s">
        <v>66</v>
      </c>
      <c r="G54" s="149"/>
      <c r="H54" s="150"/>
      <c r="I54" s="150"/>
      <c r="J54" s="151"/>
    </row>
    <row r="55" spans="1:10" ht="20" customHeight="1">
      <c r="A55" s="11" t="s">
        <v>67</v>
      </c>
      <c r="B55" s="144"/>
      <c r="C55" s="144"/>
      <c r="D55" s="144"/>
      <c r="E55" s="13"/>
      <c r="G55" s="149"/>
      <c r="H55" s="150"/>
      <c r="I55" s="150"/>
      <c r="J55" s="151"/>
    </row>
    <row r="56" spans="1:10" ht="20" customHeight="1">
      <c r="A56" s="11" t="s">
        <v>68</v>
      </c>
      <c r="B56" s="136"/>
      <c r="C56" s="136"/>
      <c r="D56" s="136"/>
      <c r="E56" s="14"/>
      <c r="G56" s="149"/>
      <c r="H56" s="150"/>
      <c r="I56" s="150"/>
      <c r="J56" s="151"/>
    </row>
    <row r="57" spans="1:10" ht="20" customHeight="1">
      <c r="A57" s="11" t="s">
        <v>69</v>
      </c>
      <c r="B57" s="136"/>
      <c r="C57" s="136"/>
      <c r="D57" s="136"/>
      <c r="E57" s="15" t="str">
        <f>IF(F8&gt;=B57,"NOT VALID","")</f>
        <v>NOT VALID</v>
      </c>
      <c r="G57" s="149"/>
      <c r="H57" s="150"/>
      <c r="I57" s="150"/>
      <c r="J57" s="151"/>
    </row>
    <row r="58" spans="1:10" ht="20" customHeight="1">
      <c r="A58" s="16" t="s">
        <v>70</v>
      </c>
      <c r="B58" s="137"/>
      <c r="C58" s="137"/>
      <c r="D58" s="137"/>
      <c r="E58" s="17"/>
      <c r="G58" s="152"/>
      <c r="H58" s="153"/>
      <c r="I58" s="153"/>
      <c r="J58" s="154"/>
    </row>
    <row r="59" spans="1:10" ht="20" customHeight="1"/>
    <row r="60" spans="1:10" ht="20" customHeight="1">
      <c r="A60" s="2" t="s">
        <v>72</v>
      </c>
      <c r="B60" s="2"/>
      <c r="C60" s="2"/>
      <c r="D60" s="2"/>
      <c r="E60" s="2"/>
      <c r="F60" s="2"/>
      <c r="G60" s="2"/>
      <c r="H60" s="2"/>
      <c r="I60" s="2"/>
      <c r="J60" s="2"/>
    </row>
    <row r="61" spans="1:10" ht="20" customHeight="1">
      <c r="A61" s="74" t="s">
        <v>73</v>
      </c>
      <c r="B61" s="75" t="s">
        <v>74</v>
      </c>
      <c r="C61" s="75" t="s">
        <v>75</v>
      </c>
      <c r="D61" s="75" t="s">
        <v>76</v>
      </c>
      <c r="E61" s="75" t="s">
        <v>77</v>
      </c>
      <c r="F61" s="89" t="s">
        <v>93</v>
      </c>
      <c r="G61" s="85" t="s">
        <v>78</v>
      </c>
      <c r="H61" s="85" t="s">
        <v>79</v>
      </c>
      <c r="I61" s="85" t="s">
        <v>92</v>
      </c>
      <c r="J61" s="86" t="s">
        <v>80</v>
      </c>
    </row>
    <row r="62" spans="1:10" ht="20" customHeight="1">
      <c r="A62" s="76" t="s">
        <v>81</v>
      </c>
      <c r="B62" s="18" t="s">
        <v>20</v>
      </c>
      <c r="C62" s="19"/>
      <c r="D62" s="18" t="s">
        <v>82</v>
      </c>
      <c r="E62" s="18" t="s">
        <v>83</v>
      </c>
      <c r="F62" s="18" t="s">
        <v>84</v>
      </c>
      <c r="G62" s="87" t="s">
        <v>38</v>
      </c>
      <c r="H62" s="87" t="s">
        <v>38</v>
      </c>
      <c r="I62" s="87" t="s">
        <v>85</v>
      </c>
      <c r="J62" s="88" t="s">
        <v>86</v>
      </c>
    </row>
    <row r="63" spans="1:10" ht="20" customHeight="1">
      <c r="A63" s="77">
        <f>H40</f>
        <v>0</v>
      </c>
      <c r="B63" s="78">
        <f>B19</f>
        <v>0</v>
      </c>
      <c r="C63" s="79">
        <v>1.28</v>
      </c>
      <c r="D63" s="80">
        <v>1.8100000000000001E-4</v>
      </c>
      <c r="E63" s="79">
        <v>0.22</v>
      </c>
      <c r="F63" s="79">
        <v>1.03</v>
      </c>
      <c r="G63" s="81">
        <f>IF(H40=0,0,SQRT(9*D63*B63*E63*F63/I63*100000))</f>
        <v>0</v>
      </c>
      <c r="H63" s="82">
        <f>G63/SQRT(C63)</f>
        <v>0</v>
      </c>
      <c r="I63" s="82">
        <f>IF(H40=0,0,A63/60/J63*1000/B18)</f>
        <v>0</v>
      </c>
      <c r="J63" s="83">
        <f>PI()*B63^2/4</f>
        <v>0</v>
      </c>
    </row>
    <row r="64" spans="1:10" ht="20" customHeight="1">
      <c r="G64" s="73"/>
      <c r="H64" s="73"/>
      <c r="I64" s="73"/>
      <c r="J64" s="73"/>
    </row>
    <row r="65" spans="1:10" ht="20" customHeight="1">
      <c r="A65" s="2" t="s">
        <v>87</v>
      </c>
      <c r="B65" s="2"/>
      <c r="C65" s="2"/>
      <c r="D65" s="2"/>
      <c r="E65" s="2"/>
      <c r="F65" s="2"/>
      <c r="G65" s="73"/>
      <c r="H65" s="73"/>
      <c r="I65" s="73"/>
      <c r="J65" s="73"/>
    </row>
    <row r="66" spans="1:10" ht="20" customHeight="1">
      <c r="A66" s="74" t="s">
        <v>73</v>
      </c>
      <c r="B66" s="75" t="s">
        <v>74</v>
      </c>
      <c r="C66" s="75" t="s">
        <v>75</v>
      </c>
      <c r="D66" s="75" t="s">
        <v>76</v>
      </c>
      <c r="E66" s="75" t="s">
        <v>77</v>
      </c>
      <c r="F66" s="89" t="s">
        <v>94</v>
      </c>
      <c r="G66" s="85" t="s">
        <v>78</v>
      </c>
      <c r="H66" s="85" t="s">
        <v>79</v>
      </c>
      <c r="I66" s="85" t="s">
        <v>92</v>
      </c>
      <c r="J66" s="86" t="s">
        <v>80</v>
      </c>
    </row>
    <row r="67" spans="1:10" ht="20" customHeight="1">
      <c r="A67" s="76" t="s">
        <v>81</v>
      </c>
      <c r="B67" s="18" t="s">
        <v>20</v>
      </c>
      <c r="C67" s="19"/>
      <c r="D67" s="18" t="s">
        <v>82</v>
      </c>
      <c r="E67" s="18" t="s">
        <v>83</v>
      </c>
      <c r="F67" s="18" t="s">
        <v>84</v>
      </c>
      <c r="G67" s="87" t="s">
        <v>38</v>
      </c>
      <c r="H67" s="87" t="s">
        <v>38</v>
      </c>
      <c r="I67" s="87" t="s">
        <v>85</v>
      </c>
      <c r="J67" s="88" t="s">
        <v>86</v>
      </c>
    </row>
    <row r="68" spans="1:10" ht="20" customHeight="1">
      <c r="A68" s="84">
        <f>IF(I40&gt;0,I40,0)</f>
        <v>0</v>
      </c>
      <c r="B68" s="78">
        <f>B19</f>
        <v>0</v>
      </c>
      <c r="C68" s="79">
        <v>1.28</v>
      </c>
      <c r="D68" s="80">
        <v>1.8100000000000001E-4</v>
      </c>
      <c r="E68" s="79">
        <v>0.22</v>
      </c>
      <c r="F68" s="79">
        <v>1.03</v>
      </c>
      <c r="G68" s="81">
        <f>IF(H40=0,0,SQRT(9*D68*B68*E68*F68/I68*100000))</f>
        <v>0</v>
      </c>
      <c r="H68" s="82">
        <f>IF(I40&gt;0,G68/SQRT(C68),0)</f>
        <v>0</v>
      </c>
      <c r="I68" s="82">
        <f>IF(I40&gt;0,A68/60/J68*1000/B18,0)</f>
        <v>0</v>
      </c>
      <c r="J68" s="83">
        <f>PI()*B68^2/4</f>
        <v>0</v>
      </c>
    </row>
    <row r="69" spans="1:10" ht="16" customHeight="1"/>
    <row r="70" spans="1:10" ht="18" customHeight="1"/>
    <row r="71" spans="1:10" ht="18" customHeight="1"/>
  </sheetData>
  <mergeCells count="63">
    <mergeCell ref="I1:J2"/>
    <mergeCell ref="B13:D13"/>
    <mergeCell ref="F11:G12"/>
    <mergeCell ref="B9:D12"/>
    <mergeCell ref="G38:G39"/>
    <mergeCell ref="H38:H39"/>
    <mergeCell ref="H4:I4"/>
    <mergeCell ref="H5:I5"/>
    <mergeCell ref="A1:C2"/>
    <mergeCell ref="C4:E4"/>
    <mergeCell ref="B8:D8"/>
    <mergeCell ref="F13:G13"/>
    <mergeCell ref="F10:G10"/>
    <mergeCell ref="F9:G9"/>
    <mergeCell ref="B58:D58"/>
    <mergeCell ref="B50:D50"/>
    <mergeCell ref="B26:D26"/>
    <mergeCell ref="B27:D27"/>
    <mergeCell ref="B28:D28"/>
    <mergeCell ref="B29:D29"/>
    <mergeCell ref="B30:D30"/>
    <mergeCell ref="B31:D31"/>
    <mergeCell ref="B32:D32"/>
    <mergeCell ref="B51:D51"/>
    <mergeCell ref="B53:D53"/>
    <mergeCell ref="B54:D54"/>
    <mergeCell ref="B55:D55"/>
    <mergeCell ref="B56:D56"/>
    <mergeCell ref="B39:E39"/>
    <mergeCell ref="B52:D52"/>
    <mergeCell ref="B43:E43"/>
    <mergeCell ref="B44:E44"/>
    <mergeCell ref="B22:D22"/>
    <mergeCell ref="H36:H37"/>
    <mergeCell ref="B57:D57"/>
    <mergeCell ref="G50:J58"/>
    <mergeCell ref="H17:I17"/>
    <mergeCell ref="B17:D17"/>
    <mergeCell ref="B16:D16"/>
    <mergeCell ref="B41:E41"/>
    <mergeCell ref="B42:E42"/>
    <mergeCell ref="I36:I37"/>
    <mergeCell ref="G36:G37"/>
    <mergeCell ref="B37:E37"/>
    <mergeCell ref="B38:E38"/>
    <mergeCell ref="I38:I39"/>
    <mergeCell ref="B40:E40"/>
    <mergeCell ref="F8:G8"/>
    <mergeCell ref="I10:J10"/>
    <mergeCell ref="I11:J11"/>
    <mergeCell ref="I12:J12"/>
    <mergeCell ref="I13:J13"/>
    <mergeCell ref="I8:J9"/>
    <mergeCell ref="H8:H10"/>
    <mergeCell ref="A4:B4"/>
    <mergeCell ref="A5:B5"/>
    <mergeCell ref="C5:E5"/>
    <mergeCell ref="B20:D20"/>
    <mergeCell ref="B21:D21"/>
    <mergeCell ref="B18:D18"/>
    <mergeCell ref="B19:D19"/>
    <mergeCell ref="A9:A12"/>
    <mergeCell ref="E11:E12"/>
  </mergeCells>
  <conditionalFormatting sqref="A1">
    <cfRule type="cellIs" dxfId="9" priority="1" stopIfTrue="1" operator="equal">
      <formula>"PASS"</formula>
    </cfRule>
    <cfRule type="cellIs" dxfId="8" priority="2" stopIfTrue="1" operator="equal">
      <formula>"FAIL"</formula>
    </cfRule>
  </conditionalFormatting>
  <conditionalFormatting sqref="I1">
    <cfRule type="cellIs" dxfId="7" priority="3" stopIfTrue="1" operator="equal">
      <formula>"PASS"</formula>
    </cfRule>
    <cfRule type="cellIs" dxfId="6" priority="3" stopIfTrue="1" operator="equal">
      <formula>"FAIL"</formula>
    </cfRule>
    <cfRule type="cellIs" dxfId="5" priority="3" stopIfTrue="1" operator="equal">
      <formula>"TEST"</formula>
    </cfRule>
  </conditionalFormatting>
  <conditionalFormatting sqref="B31">
    <cfRule type="cellIs" dxfId="4" priority="4" stopIfTrue="1" operator="lessThan">
      <formula>18</formula>
    </cfRule>
    <cfRule type="cellIs" dxfId="3" priority="4" stopIfTrue="1" operator="greaterThan">
      <formula>22</formula>
    </cfRule>
  </conditionalFormatting>
  <conditionalFormatting sqref="B32">
    <cfRule type="cellIs" dxfId="2" priority="5" stopIfTrue="1" operator="lessThan">
      <formula>980</formula>
    </cfRule>
    <cfRule type="cellIs" dxfId="1" priority="5" stopIfTrue="1" operator="greaterThan">
      <formula>1030</formula>
    </cfRule>
  </conditionalFormatting>
  <conditionalFormatting sqref="E57">
    <cfRule type="cellIs" dxfId="0" priority="6" stopIfTrue="1" operator="equal">
      <formula>"NOT VALID"</formula>
    </cfRule>
  </conditionalFormatting>
  <dataValidations count="13">
    <dataValidation type="list" allowBlank="1" showInputMessage="1" showErrorMessage="1" sqref="B16" xr:uid="{00000000-0002-0000-0000-000002000000}">
      <formula1>",MicroBio MB1,MicroBio MB2,MicroBio MB2-HiFlow,MicroBio MB2-RSH,MicroBio MB2-Atacama,Parrett MicroBio MB1+,Qualisair qS100,Qualisair qS200,Qualisair qSi"</formula1>
    </dataValidation>
    <dataValidation type="list" allowBlank="1" showInputMessage="1" showErrorMessage="1" sqref="B17" xr:uid="{00000000-0002-0000-0000-000003000000}">
      <formula1>",100,180,200"</formula1>
    </dataValidation>
    <dataValidation type="list" allowBlank="1" showInputMessage="1" showErrorMessage="1" sqref="B18" xr:uid="{00000000-0002-0000-0000-000004000000}">
      <formula1>",220,400,440"</formula1>
    </dataValidation>
    <dataValidation type="list" allowBlank="1" showInputMessage="1" showErrorMessage="1" sqref="B19" xr:uid="{00000000-0002-0000-0000-000005000000}">
      <formula1>",1.0,0.7,0.5"</formula1>
    </dataValidation>
    <dataValidation type="list" allowBlank="1" showInputMessage="1" showErrorMessage="1" sqref="B20" xr:uid="{00000000-0002-0000-0000-000006000000}">
      <formula1>",90mm Petri Dish,55mm Contact Plate,60mm Contact Plate,100mm Petri Dish"</formula1>
    </dataValidation>
    <dataValidation type="list" allowBlank="1" showInputMessage="1" showErrorMessage="1" sqref="B37" xr:uid="{00000000-0002-0000-0000-000007000000}">
      <formula1>",OK,Damaged/scratched,Distorted shape - replaced,Distorted shape - re-shaped,Required cleaning/holes unblocking,Tight fit - stretched OK,Tight fit - unable to stretch,New Item"</formula1>
    </dataValidation>
    <dataValidation type="list" allowBlank="1" showInputMessage="1" showErrorMessage="1" sqref="B38" xr:uid="{00000000-0002-0000-0000-000008000000}">
      <formula1>",OK,Replaced,Refitted correct way,New Item"</formula1>
    </dataValidation>
    <dataValidation type="list" allowBlank="1" showInputMessage="1" showErrorMessage="1" sqref="B39" xr:uid="{00000000-0002-0000-0000-000009000000}">
      <formula1>",OK,Springs aligned,Springs cleaned,Springs replaced,New Item"</formula1>
    </dataValidation>
    <dataValidation type="list" allowBlank="1" showInputMessage="1" showErrorMessage="1" sqref="B40" xr:uid="{00000000-0002-0000-0000-00000A000000}">
      <formula1>",OK,Cleaning required,Membrane dome damage,Membrane replaced,Split surface,Split surface - overlay replaced,New Item"</formula1>
    </dataValidation>
    <dataValidation type="list" allowBlank="1" showInputMessage="1" showErrorMessage="1" sqref="B41" xr:uid="{00000000-0002-0000-0000-00000B000000}">
      <formula1>",OK,Missing spring - replacement fitted,Springs aligned,Springs replaced,Springs re-shaped,New Item"</formula1>
    </dataValidation>
    <dataValidation type="list" allowBlank="1" showInputMessage="1" showErrorMessage="1" sqref="B42" xr:uid="{00000000-0002-0000-0000-00000C000000}">
      <formula1>",OK,Missing spring - replacement fitted,Spring aligned,Spring replaced,Spring re-shaped,New Item"</formula1>
    </dataValidation>
    <dataValidation type="list" allowBlank="1" showInputMessage="1" showErrorMessage="1" sqref="B43" xr:uid="{00000000-0002-0000-0000-00000D000000}">
      <formula1>",OK,Damaged fan mounting - requires box replacement,Damaged - recommend repair,Display window damaged - replaced,Normal wear,Required cleaning,Tripod mount damage - mount replaced,Tripod/case fracture - reapir need,Tripod/case fracture - replaced,New Item"</formula1>
    </dataValidation>
    <dataValidation type="list" allowBlank="1" showInputMessage="1" showErrorMessage="1" sqref="B44" xr:uid="{00000000-0002-0000-0000-00000E000000}">
      <formula1>",None supplied,Customer's cells,Customer's cells exhaused and recycled,Laboratory cells used"</formula1>
    </dataValidation>
  </dataValidations>
  <pageMargins left="0.70866141732283472" right="0.70866141732283472" top="0.74803149606299213" bottom="0.74803149606299213" header="0.31496062992125984" footer="0.31496062992125984"/>
  <pageSetup paperSize="9" scale="57" orientation="portrait" r:id="rId1"/>
  <headerFooter>
    <oddFooter>&amp;L&amp;"Helvetica Neue,Regular"&amp;8&amp;K000000Cantium Scientific Ltd
Dartford, Kent, DA2 6EY, UK
&amp;U&amp;K539BC8www.cantiumscientific.com&amp;C&amp;"Helvetica Neue,Regular"&amp;6&amp;K000000
Qualisair is a trademark of Cantium Scientific Limtied&amp;R&amp;"Helvetica,Regular"&amp;10&amp;K000000Qualsi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Certificate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Stephen Plumridge</cp:lastModifiedBy>
  <dcterms:created xsi:type="dcterms:W3CDTF">2020-11-20T17:59:33Z</dcterms:created>
  <dcterms:modified xsi:type="dcterms:W3CDTF">2022-11-28T10:46:13Z</dcterms:modified>
</cp:coreProperties>
</file>